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1355" windowHeight="7935"/>
  </bookViews>
  <sheets>
    <sheet name="St of Net Assets" sheetId="9" r:id="rId1"/>
    <sheet name="St of Act-Rev" sheetId="8" r:id="rId2"/>
    <sheet name="St of Act-Exp" sheetId="7" r:id="rId3"/>
    <sheet name="GenBS" sheetId="6" r:id="rId4"/>
    <sheet name="GenRev" sheetId="5" r:id="rId5"/>
    <sheet name="GenExp" sheetId="4" r:id="rId6"/>
    <sheet name="GovBS" sheetId="1" r:id="rId7"/>
    <sheet name="GovRev" sheetId="2" r:id="rId8"/>
    <sheet name="GovExp" sheetId="11" r:id="rId9"/>
    <sheet name="LT_Ob" sheetId="10" r:id="rId10"/>
  </sheets>
  <definedNames>
    <definedName name="_xlnm.Print_Area" localSheetId="3">GenBS!$A$1:$AC$66</definedName>
    <definedName name="_xlnm.Print_Area" localSheetId="5">GenExp!$A$1:$BV$132</definedName>
    <definedName name="_xlnm.Print_Area" localSheetId="4">GenRev!$A$1:$AS$66</definedName>
    <definedName name="_xlnm.Print_Area" localSheetId="6">GovBS!$A$1:$AC$66</definedName>
    <definedName name="_xlnm.Print_Area" localSheetId="9">LT_Ob!$A$1:$U$66</definedName>
    <definedName name="_xlnm.Print_Area" localSheetId="2">'St of Act-Exp'!$A$1:$BG$67</definedName>
    <definedName name="_xlnm.Print_Area" localSheetId="0">'St of Net Assets'!$A$1:$AA$132</definedName>
    <definedName name="_xlnm.Print_Titles" localSheetId="3">GenBS!$1:$11</definedName>
    <definedName name="_xlnm.Print_Titles" localSheetId="5">GenExp!$1:$11</definedName>
    <definedName name="_xlnm.Print_Titles" localSheetId="4">GenRev!$1:$11</definedName>
    <definedName name="_xlnm.Print_Titles" localSheetId="6">GovBS!$1:$11</definedName>
    <definedName name="_xlnm.Print_Titles" localSheetId="8">GovExp!$1:$11</definedName>
    <definedName name="_xlnm.Print_Titles" localSheetId="7">GovRev!$1:$11</definedName>
    <definedName name="_xlnm.Print_Titles" localSheetId="9">LT_Ob!$1:$11</definedName>
    <definedName name="_xlnm.Print_Titles" localSheetId="2">'St of Act-Exp'!$1:$11</definedName>
    <definedName name="_xlnm.Print_Titles" localSheetId="1">'St of Act-Rev'!$1:$11</definedName>
    <definedName name="_xlnm.Print_Titles" localSheetId="0">'St of Net Assets'!$1:$11</definedName>
  </definedNames>
  <calcPr calcId="125725"/>
</workbook>
</file>

<file path=xl/calcChain.xml><?xml version="1.0" encoding="utf-8"?>
<calcChain xmlns="http://schemas.openxmlformats.org/spreadsheetml/2006/main">
  <c r="S14" i="10"/>
  <c r="W14"/>
  <c r="G15"/>
  <c r="S15" s="1"/>
  <c r="W15"/>
  <c r="S16"/>
  <c r="W16"/>
  <c r="S17"/>
  <c r="W17"/>
  <c r="S18"/>
  <c r="W18"/>
  <c r="S19"/>
  <c r="W19"/>
  <c r="O20"/>
  <c r="S20"/>
  <c r="U20"/>
  <c r="S21"/>
  <c r="W21"/>
  <c r="S22"/>
  <c r="W22"/>
  <c r="I23"/>
  <c r="S23" s="1"/>
  <c r="W23"/>
  <c r="S24"/>
  <c r="W24"/>
  <c r="S25"/>
  <c r="W25"/>
  <c r="S26"/>
  <c r="W26"/>
  <c r="O27"/>
  <c r="S27" s="1"/>
  <c r="U27"/>
  <c r="W27" s="1"/>
  <c r="K28"/>
  <c r="S28" s="1"/>
  <c r="W28"/>
  <c r="S29"/>
  <c r="W29"/>
  <c r="O30"/>
  <c r="S30"/>
  <c r="W30"/>
  <c r="S31"/>
  <c r="W31"/>
  <c r="S32"/>
  <c r="W32"/>
  <c r="S33"/>
  <c r="W33"/>
  <c r="G34"/>
  <c r="S34" s="1"/>
  <c r="W34"/>
  <c r="G35"/>
  <c r="S35" s="1"/>
  <c r="W35"/>
  <c r="S36"/>
  <c r="W36"/>
  <c r="S37"/>
  <c r="W37"/>
  <c r="S38"/>
  <c r="W38"/>
  <c r="S39"/>
  <c r="W39"/>
  <c r="S40"/>
  <c r="W40"/>
  <c r="S41"/>
  <c r="W41"/>
  <c r="S42"/>
  <c r="W42"/>
  <c r="S43"/>
  <c r="W43"/>
  <c r="G44"/>
  <c r="S44" s="1"/>
  <c r="W44"/>
  <c r="S45"/>
  <c r="W45"/>
  <c r="S46"/>
  <c r="W46"/>
  <c r="G47"/>
  <c r="S47"/>
  <c r="W47"/>
  <c r="O48"/>
  <c r="S48" s="1"/>
  <c r="U48"/>
  <c r="W48" s="1"/>
  <c r="S49"/>
  <c r="W49"/>
  <c r="S50"/>
  <c r="W50"/>
  <c r="S51"/>
  <c r="W51"/>
  <c r="S52"/>
  <c r="W52"/>
  <c r="S53"/>
  <c r="W53"/>
  <c r="G54"/>
  <c r="S54" s="1"/>
  <c r="W54"/>
  <c r="O55"/>
  <c r="S55" s="1"/>
  <c r="U55"/>
  <c r="W55" s="1"/>
  <c r="M56"/>
  <c r="O56"/>
  <c r="U56"/>
  <c r="W56" s="1"/>
  <c r="O57"/>
  <c r="S57" s="1"/>
  <c r="U57"/>
  <c r="W57" s="1"/>
  <c r="S58"/>
  <c r="W58"/>
  <c r="G59"/>
  <c r="S59" s="1"/>
  <c r="W59"/>
  <c r="S60"/>
  <c r="W60"/>
  <c r="S61"/>
  <c r="W61"/>
  <c r="K62"/>
  <c r="S62"/>
  <c r="W62"/>
  <c r="O63"/>
  <c r="S63" s="1"/>
  <c r="W63"/>
  <c r="S64"/>
  <c r="W64"/>
  <c r="BC14" i="11"/>
  <c r="BP14" s="1"/>
  <c r="M15"/>
  <c r="BC15" s="1"/>
  <c r="BP15" s="1"/>
  <c r="M16"/>
  <c r="BC16" s="1"/>
  <c r="BP16" s="1"/>
  <c r="BC17"/>
  <c r="BP17" s="1"/>
  <c r="BC18"/>
  <c r="BP18"/>
  <c r="BC19"/>
  <c r="BP19" s="1"/>
  <c r="BC20"/>
  <c r="BP20" s="1"/>
  <c r="BC21"/>
  <c r="BP21" s="1"/>
  <c r="BC22"/>
  <c r="BP22"/>
  <c r="BC23"/>
  <c r="BP23" s="1"/>
  <c r="AY24"/>
  <c r="BC24"/>
  <c r="BN24"/>
  <c r="BP24"/>
  <c r="AU25"/>
  <c r="BC25" s="1"/>
  <c r="BP25" s="1"/>
  <c r="M26"/>
  <c r="BC26" s="1"/>
  <c r="BP26" s="1"/>
  <c r="M27"/>
  <c r="BC27" s="1"/>
  <c r="BP27" s="1"/>
  <c r="BC28"/>
  <c r="BP28" s="1"/>
  <c r="BC29"/>
  <c r="BP29"/>
  <c r="BC30"/>
  <c r="BP30" s="1"/>
  <c r="AY31"/>
  <c r="BC31"/>
  <c r="BP31" s="1"/>
  <c r="BC32"/>
  <c r="BP32"/>
  <c r="M33"/>
  <c r="AY33"/>
  <c r="BC33" s="1"/>
  <c r="BP33" s="1"/>
  <c r="BC34"/>
  <c r="BP34" s="1"/>
  <c r="AY35"/>
  <c r="BC35" s="1"/>
  <c r="BP35" s="1"/>
  <c r="BC36"/>
  <c r="BP36" s="1"/>
  <c r="BC37"/>
  <c r="BP37" s="1"/>
  <c r="AW38"/>
  <c r="BC38" s="1"/>
  <c r="BP38" s="1"/>
  <c r="BN38"/>
  <c r="BC39"/>
  <c r="BP39" s="1"/>
  <c r="BC40"/>
  <c r="BP40" s="1"/>
  <c r="BC41"/>
  <c r="BP41"/>
  <c r="AW42"/>
  <c r="BC42" s="1"/>
  <c r="BP42" s="1"/>
  <c r="M43"/>
  <c r="BC43" s="1"/>
  <c r="BP43" s="1"/>
  <c r="M44"/>
  <c r="AS44"/>
  <c r="BC45"/>
  <c r="BP45" s="1"/>
  <c r="BC46"/>
  <c r="BP46"/>
  <c r="AS47"/>
  <c r="BC47" s="1"/>
  <c r="BP47" s="1"/>
  <c r="BC48"/>
  <c r="BP48" s="1"/>
  <c r="M49"/>
  <c r="BC49"/>
  <c r="BP49" s="1"/>
  <c r="BC50"/>
  <c r="BP50"/>
  <c r="BC51"/>
  <c r="BP51" s="1"/>
  <c r="BC52"/>
  <c r="BP52" s="1"/>
  <c r="BC53"/>
  <c r="BP53" s="1"/>
  <c r="M54"/>
  <c r="BC54"/>
  <c r="BP54" s="1"/>
  <c r="BC55"/>
  <c r="BP55"/>
  <c r="BC56"/>
  <c r="BP56" s="1"/>
  <c r="BC57"/>
  <c r="BP57" s="1"/>
  <c r="BC58"/>
  <c r="BP58" s="1"/>
  <c r="M59"/>
  <c r="BC59"/>
  <c r="BP59" s="1"/>
  <c r="BC60"/>
  <c r="BP60"/>
  <c r="AS61"/>
  <c r="BC61" s="1"/>
  <c r="BP61" s="1"/>
  <c r="BC62"/>
  <c r="BP62" s="1"/>
  <c r="BT62"/>
  <c r="BC63"/>
  <c r="BP63" s="1"/>
  <c r="BC64"/>
  <c r="BP64"/>
  <c r="W14" i="2"/>
  <c r="Y14" s="1"/>
  <c r="AV14"/>
  <c r="W15"/>
  <c r="Y15" s="1"/>
  <c r="AV15"/>
  <c r="W16"/>
  <c r="Y16" s="1"/>
  <c r="AV16"/>
  <c r="W17"/>
  <c r="Y17" s="1"/>
  <c r="AV17"/>
  <c r="W18"/>
  <c r="Y18" s="1"/>
  <c r="AV18"/>
  <c r="K19"/>
  <c r="W19"/>
  <c r="Y19"/>
  <c r="AV19"/>
  <c r="AX19"/>
  <c r="Y20"/>
  <c r="AV20"/>
  <c r="AX20" s="1"/>
  <c r="Y21"/>
  <c r="AV21"/>
  <c r="AX21" s="1"/>
  <c r="K22"/>
  <c r="W22"/>
  <c r="AV22"/>
  <c r="W23"/>
  <c r="Y23" s="1"/>
  <c r="AV23"/>
  <c r="W24"/>
  <c r="Y24" s="1"/>
  <c r="AE24"/>
  <c r="AV24" s="1"/>
  <c r="K25"/>
  <c r="W25"/>
  <c r="Y25" s="1"/>
  <c r="AV25"/>
  <c r="K26"/>
  <c r="W26"/>
  <c r="Y26"/>
  <c r="AV26"/>
  <c r="AX26"/>
  <c r="W27"/>
  <c r="Y27"/>
  <c r="AV27"/>
  <c r="AX27"/>
  <c r="O28"/>
  <c r="W28"/>
  <c r="Y28" s="1"/>
  <c r="AV28"/>
  <c r="M29"/>
  <c r="W29"/>
  <c r="Y29"/>
  <c r="AV29"/>
  <c r="AX29"/>
  <c r="W30"/>
  <c r="Y30"/>
  <c r="AV30"/>
  <c r="AX30"/>
  <c r="W31"/>
  <c r="Y31"/>
  <c r="AE31"/>
  <c r="AV31"/>
  <c r="AX31" s="1"/>
  <c r="W32"/>
  <c r="Y32" s="1"/>
  <c r="AV32"/>
  <c r="W33"/>
  <c r="Y33" s="1"/>
  <c r="AV33"/>
  <c r="W34"/>
  <c r="Y34" s="1"/>
  <c r="AV34"/>
  <c r="W35"/>
  <c r="Y35" s="1"/>
  <c r="AV35"/>
  <c r="Y36"/>
  <c r="AV36"/>
  <c r="AX36" s="1"/>
  <c r="Y37"/>
  <c r="AV37"/>
  <c r="W38"/>
  <c r="Y38" s="1"/>
  <c r="AV38"/>
  <c r="W39"/>
  <c r="Y39" s="1"/>
  <c r="AV39"/>
  <c r="W40"/>
  <c r="Y40" s="1"/>
  <c r="AV40"/>
  <c r="W41"/>
  <c r="Y41" s="1"/>
  <c r="AV41"/>
  <c r="W42"/>
  <c r="Y42" s="1"/>
  <c r="AC42"/>
  <c r="AR42"/>
  <c r="AV42" s="1"/>
  <c r="AX42" s="1"/>
  <c r="W43"/>
  <c r="Y43" s="1"/>
  <c r="AV43"/>
  <c r="K44"/>
  <c r="W44"/>
  <c r="Y44"/>
  <c r="AV44"/>
  <c r="AX44"/>
  <c r="W45"/>
  <c r="Y45"/>
  <c r="AV45"/>
  <c r="AX45"/>
  <c r="W46"/>
  <c r="Y46"/>
  <c r="AV46"/>
  <c r="AX46"/>
  <c r="K47"/>
  <c r="W47"/>
  <c r="Y47" s="1"/>
  <c r="AV47"/>
  <c r="Y48"/>
  <c r="AV48"/>
  <c r="AX48"/>
  <c r="W49"/>
  <c r="Y49"/>
  <c r="AV49"/>
  <c r="AX49"/>
  <c r="W50"/>
  <c r="Y50"/>
  <c r="AV50"/>
  <c r="AX50"/>
  <c r="W51"/>
  <c r="Y51"/>
  <c r="AV51"/>
  <c r="AX51"/>
  <c r="W52"/>
  <c r="Y52"/>
  <c r="AV52"/>
  <c r="AX52"/>
  <c r="K53"/>
  <c r="W53"/>
  <c r="Y53" s="1"/>
  <c r="AV53"/>
  <c r="W54"/>
  <c r="Y54" s="1"/>
  <c r="AV54"/>
  <c r="W55"/>
  <c r="Y55" s="1"/>
  <c r="AV55"/>
  <c r="W56"/>
  <c r="Y56" s="1"/>
  <c r="AV56"/>
  <c r="K57"/>
  <c r="W57"/>
  <c r="Y57"/>
  <c r="AV57"/>
  <c r="AX57"/>
  <c r="W58"/>
  <c r="Y58"/>
  <c r="AV58"/>
  <c r="AX58"/>
  <c r="W59"/>
  <c r="Y59"/>
  <c r="AC59"/>
  <c r="AV59"/>
  <c r="AX59" s="1"/>
  <c r="W60"/>
  <c r="Y60" s="1"/>
  <c r="AV60"/>
  <c r="K61"/>
  <c r="W61"/>
  <c r="Y61" s="1"/>
  <c r="AC61"/>
  <c r="AV61" s="1"/>
  <c r="AX61" s="1"/>
  <c r="W62"/>
  <c r="Y62" s="1"/>
  <c r="AV62"/>
  <c r="W63"/>
  <c r="Y63" s="1"/>
  <c r="AV63"/>
  <c r="W64"/>
  <c r="Y64" s="1"/>
  <c r="AV64"/>
  <c r="K14" i="1"/>
  <c r="O14"/>
  <c r="W14"/>
  <c r="AA14"/>
  <c r="AC14"/>
  <c r="AE14"/>
  <c r="K15"/>
  <c r="O15"/>
  <c r="W15"/>
  <c r="AA15"/>
  <c r="AC15" s="1"/>
  <c r="AE15"/>
  <c r="K16"/>
  <c r="O16"/>
  <c r="AE16" s="1"/>
  <c r="W16"/>
  <c r="AA16"/>
  <c r="AC16" s="1"/>
  <c r="G17"/>
  <c r="K17" s="1"/>
  <c r="AE17" s="1"/>
  <c r="O17"/>
  <c r="W17"/>
  <c r="AA17"/>
  <c r="AC17" s="1"/>
  <c r="K18"/>
  <c r="O18"/>
  <c r="W18"/>
  <c r="AA18"/>
  <c r="AC18" s="1"/>
  <c r="AE18"/>
  <c r="K19"/>
  <c r="Q19"/>
  <c r="O19" s="1"/>
  <c r="W19"/>
  <c r="AA19"/>
  <c r="AC19" s="1"/>
  <c r="K20"/>
  <c r="AE20" s="1"/>
  <c r="O20"/>
  <c r="W20"/>
  <c r="AA20"/>
  <c r="AC20"/>
  <c r="K21"/>
  <c r="AE21" s="1"/>
  <c r="O21"/>
  <c r="AC21"/>
  <c r="K22"/>
  <c r="Q22"/>
  <c r="O22" s="1"/>
  <c r="W22"/>
  <c r="AA22"/>
  <c r="AC22" s="1"/>
  <c r="K23"/>
  <c r="O23"/>
  <c r="AE23" s="1"/>
  <c r="W23"/>
  <c r="AA23"/>
  <c r="AC23" s="1"/>
  <c r="G24"/>
  <c r="K24" s="1"/>
  <c r="AE24" s="1"/>
  <c r="O24"/>
  <c r="W24"/>
  <c r="AA24"/>
  <c r="AC24" s="1"/>
  <c r="G25"/>
  <c r="K25" s="1"/>
  <c r="Q25"/>
  <c r="O25" s="1"/>
  <c r="W25"/>
  <c r="AA25"/>
  <c r="AC25" s="1"/>
  <c r="K26"/>
  <c r="Q26"/>
  <c r="O26" s="1"/>
  <c r="W26"/>
  <c r="AA26"/>
  <c r="K27"/>
  <c r="O27"/>
  <c r="W27"/>
  <c r="AA27"/>
  <c r="AE27"/>
  <c r="K28"/>
  <c r="O28"/>
  <c r="Q28"/>
  <c r="W28"/>
  <c r="AA28"/>
  <c r="AC28"/>
  <c r="G29"/>
  <c r="K29" s="1"/>
  <c r="O29"/>
  <c r="W29"/>
  <c r="AA29"/>
  <c r="AC29" s="1"/>
  <c r="G30"/>
  <c r="K30"/>
  <c r="O30"/>
  <c r="W30"/>
  <c r="AA30"/>
  <c r="AC30"/>
  <c r="K31"/>
  <c r="O31"/>
  <c r="W31"/>
  <c r="AA31"/>
  <c r="AC31" s="1"/>
  <c r="K32"/>
  <c r="O32"/>
  <c r="W32"/>
  <c r="AA32"/>
  <c r="AC32"/>
  <c r="K33"/>
  <c r="O33"/>
  <c r="W33"/>
  <c r="AA33"/>
  <c r="AC33" s="1"/>
  <c r="K34"/>
  <c r="O34"/>
  <c r="W34"/>
  <c r="AA34"/>
  <c r="AC34"/>
  <c r="K35"/>
  <c r="O35"/>
  <c r="W35"/>
  <c r="AA35"/>
  <c r="AC35" s="1"/>
  <c r="K36"/>
  <c r="AE36" s="1"/>
  <c r="O36"/>
  <c r="AC36"/>
  <c r="K37"/>
  <c r="O37"/>
  <c r="W37"/>
  <c r="AA37"/>
  <c r="AC37" s="1"/>
  <c r="K38"/>
  <c r="O38"/>
  <c r="W38"/>
  <c r="AA38"/>
  <c r="AC38"/>
  <c r="K39"/>
  <c r="O39"/>
  <c r="W39"/>
  <c r="AA39"/>
  <c r="AC39" s="1"/>
  <c r="K40"/>
  <c r="O40"/>
  <c r="W40"/>
  <c r="AA40"/>
  <c r="AC40"/>
  <c r="K41"/>
  <c r="O41"/>
  <c r="W41"/>
  <c r="AA41"/>
  <c r="AC41" s="1"/>
  <c r="G42"/>
  <c r="K42" s="1"/>
  <c r="O42"/>
  <c r="W42"/>
  <c r="AA42"/>
  <c r="K43"/>
  <c r="O43"/>
  <c r="W43"/>
  <c r="AA43"/>
  <c r="AE43"/>
  <c r="G44"/>
  <c r="K44"/>
  <c r="O44"/>
  <c r="W44"/>
  <c r="AA44"/>
  <c r="AC44"/>
  <c r="K45"/>
  <c r="O45"/>
  <c r="W45"/>
  <c r="AA45"/>
  <c r="AC45" s="1"/>
  <c r="G46"/>
  <c r="K46" s="1"/>
  <c r="O46"/>
  <c r="W46"/>
  <c r="AA46"/>
  <c r="G47"/>
  <c r="K47" s="1"/>
  <c r="AE47" s="1"/>
  <c r="O47"/>
  <c r="W47"/>
  <c r="AA47"/>
  <c r="AC47" s="1"/>
  <c r="K48"/>
  <c r="O48"/>
  <c r="W48"/>
  <c r="AA48"/>
  <c r="AC48"/>
  <c r="G49"/>
  <c r="K49" s="1"/>
  <c r="O49"/>
  <c r="W49"/>
  <c r="AA49"/>
  <c r="AC49" s="1"/>
  <c r="K50"/>
  <c r="O50"/>
  <c r="AE50" s="1"/>
  <c r="W50"/>
  <c r="AA50"/>
  <c r="AC50" s="1"/>
  <c r="K51"/>
  <c r="O51"/>
  <c r="W51"/>
  <c r="AA51"/>
  <c r="AE51"/>
  <c r="K52"/>
  <c r="O52"/>
  <c r="AE52" s="1"/>
  <c r="W52"/>
  <c r="AA52"/>
  <c r="AC52" s="1"/>
  <c r="K53"/>
  <c r="O53"/>
  <c r="W53"/>
  <c r="AA53"/>
  <c r="AE53"/>
  <c r="K54"/>
  <c r="O54"/>
  <c r="AE54" s="1"/>
  <c r="W54"/>
  <c r="AA54"/>
  <c r="AC54" s="1"/>
  <c r="K55"/>
  <c r="O55"/>
  <c r="W55"/>
  <c r="AA55"/>
  <c r="AE55"/>
  <c r="K56"/>
  <c r="O56"/>
  <c r="AE56" s="1"/>
  <c r="W56"/>
  <c r="AC56"/>
  <c r="K57"/>
  <c r="O57"/>
  <c r="W57"/>
  <c r="AA57"/>
  <c r="AC57" s="1"/>
  <c r="G58"/>
  <c r="K58" s="1"/>
  <c r="AE58" s="1"/>
  <c r="O58"/>
  <c r="W58"/>
  <c r="AA58"/>
  <c r="K59"/>
  <c r="O59"/>
  <c r="W59"/>
  <c r="AA59"/>
  <c r="AE59"/>
  <c r="G60"/>
  <c r="K60"/>
  <c r="O60"/>
  <c r="W60"/>
  <c r="AA60"/>
  <c r="AC60"/>
  <c r="G61"/>
  <c r="K61" s="1"/>
  <c r="O61"/>
  <c r="W61"/>
  <c r="AA61"/>
  <c r="AC61" s="1"/>
  <c r="G62"/>
  <c r="K62"/>
  <c r="AE62" s="1"/>
  <c r="O62"/>
  <c r="W62"/>
  <c r="AC62" s="1"/>
  <c r="G63"/>
  <c r="I63"/>
  <c r="O63"/>
  <c r="W63"/>
  <c r="AA63"/>
  <c r="AC63" s="1"/>
  <c r="G64"/>
  <c r="K64"/>
  <c r="AE64" s="1"/>
  <c r="O64"/>
  <c r="W64"/>
  <c r="AA64"/>
  <c r="AC64"/>
  <c r="S56" i="10" l="1"/>
  <c r="BC44" i="11"/>
  <c r="BP44" s="1"/>
  <c r="AX64" i="2"/>
  <c r="AX63"/>
  <c r="AX62"/>
  <c r="AX56"/>
  <c r="BR56" i="11" s="1"/>
  <c r="BX56" s="1"/>
  <c r="BZ56" s="1"/>
  <c r="AX55" i="2"/>
  <c r="AX54"/>
  <c r="AX53"/>
  <c r="AX47"/>
  <c r="AX43"/>
  <c r="AX41"/>
  <c r="BR41" i="11" s="1"/>
  <c r="BX41" s="1"/>
  <c r="BZ41" s="1"/>
  <c r="AX40" i="2"/>
  <c r="AX39"/>
  <c r="AX38"/>
  <c r="AX37"/>
  <c r="BR37" i="11" s="1"/>
  <c r="BX37" s="1"/>
  <c r="BZ37" s="1"/>
  <c r="AX28" i="2"/>
  <c r="AX25"/>
  <c r="BR25" i="11" s="1"/>
  <c r="BX25" s="1"/>
  <c r="BZ25" s="1"/>
  <c r="Y22" i="2"/>
  <c r="AX18"/>
  <c r="AX17"/>
  <c r="AX16"/>
  <c r="AX15"/>
  <c r="AX14"/>
  <c r="BR14" i="11" s="1"/>
  <c r="BX14" s="1"/>
  <c r="BZ14" s="1"/>
  <c r="BR64"/>
  <c r="BX64" s="1"/>
  <c r="BR63"/>
  <c r="BX63" s="1"/>
  <c r="BZ63" s="1"/>
  <c r="BR62"/>
  <c r="BX62" s="1"/>
  <c r="BR59"/>
  <c r="BX59" s="1"/>
  <c r="BR58"/>
  <c r="BX58" s="1"/>
  <c r="BR55"/>
  <c r="BX55" s="1"/>
  <c r="BR54"/>
  <c r="BX54" s="1"/>
  <c r="BZ54" s="1"/>
  <c r="BR53"/>
  <c r="BX53" s="1"/>
  <c r="BR50"/>
  <c r="BX50" s="1"/>
  <c r="BR49"/>
  <c r="BX49" s="1"/>
  <c r="BR48"/>
  <c r="BX48" s="1"/>
  <c r="BR46"/>
  <c r="BX46" s="1"/>
  <c r="BR45"/>
  <c r="BX45" s="1"/>
  <c r="BZ45" s="1"/>
  <c r="BR40"/>
  <c r="BX40" s="1"/>
  <c r="BZ40" s="1"/>
  <c r="BR38"/>
  <c r="BX38" s="1"/>
  <c r="BR31"/>
  <c r="BX31" s="1"/>
  <c r="BZ31" s="1"/>
  <c r="BR30"/>
  <c r="BX30" s="1"/>
  <c r="BR27"/>
  <c r="BX27" s="1"/>
  <c r="BR21"/>
  <c r="BX21" s="1"/>
  <c r="BR18"/>
  <c r="BX18" s="1"/>
  <c r="BR17"/>
  <c r="BX17" s="1"/>
  <c r="BR15"/>
  <c r="BX15" s="1"/>
  <c r="BR61"/>
  <c r="BX61" s="1"/>
  <c r="BR57"/>
  <c r="BX57" s="1"/>
  <c r="BR52"/>
  <c r="BX52" s="1"/>
  <c r="BR51"/>
  <c r="BX51" s="1"/>
  <c r="BR47"/>
  <c r="BX47" s="1"/>
  <c r="BR44"/>
  <c r="BX44" s="1"/>
  <c r="BR43"/>
  <c r="BX43" s="1"/>
  <c r="BR42"/>
  <c r="BX42" s="1"/>
  <c r="BR39"/>
  <c r="BX39" s="1"/>
  <c r="BZ39" s="1"/>
  <c r="BR36"/>
  <c r="BX36" s="1"/>
  <c r="BZ36" s="1"/>
  <c r="BR29"/>
  <c r="BX29" s="1"/>
  <c r="BR28"/>
  <c r="BX28" s="1"/>
  <c r="BZ28" s="1"/>
  <c r="BR26"/>
  <c r="BX26" s="1"/>
  <c r="BR20"/>
  <c r="BX20" s="1"/>
  <c r="BZ20" s="1"/>
  <c r="BR19"/>
  <c r="BX19" s="1"/>
  <c r="BR16"/>
  <c r="BX16" s="1"/>
  <c r="BZ16" s="1"/>
  <c r="AE48" i="1"/>
  <c r="AE46"/>
  <c r="AE44"/>
  <c r="AE42"/>
  <c r="AE40"/>
  <c r="AE38"/>
  <c r="AE34"/>
  <c r="AE32"/>
  <c r="AE30"/>
  <c r="AE28"/>
  <c r="AE22"/>
  <c r="AE19"/>
  <c r="BZ64" i="11"/>
  <c r="BZ62"/>
  <c r="BZ58"/>
  <c r="BZ50"/>
  <c r="BZ49"/>
  <c r="BZ48"/>
  <c r="BZ38"/>
  <c r="BZ30"/>
  <c r="BZ21"/>
  <c r="BZ18"/>
  <c r="BZ17"/>
  <c r="BZ15"/>
  <c r="AE60" i="1"/>
  <c r="K63"/>
  <c r="AE63" s="1"/>
  <c r="AE61"/>
  <c r="AC59"/>
  <c r="BZ59" i="11" s="1"/>
  <c r="AC58" i="1"/>
  <c r="AE57"/>
  <c r="AC55"/>
  <c r="BZ55" i="11" s="1"/>
  <c r="AC53" i="1"/>
  <c r="BZ53" i="11" s="1"/>
  <c r="AC51" i="1"/>
  <c r="AE49"/>
  <c r="AC46"/>
  <c r="BZ46" i="11" s="1"/>
  <c r="AE45" i="1"/>
  <c r="AC43"/>
  <c r="AC42"/>
  <c r="BZ42" i="11" s="1"/>
  <c r="AE41" i="1"/>
  <c r="AE39"/>
  <c r="AE37"/>
  <c r="AE35"/>
  <c r="AE33"/>
  <c r="AE31"/>
  <c r="AE29"/>
  <c r="AC27"/>
  <c r="BZ27" i="11" s="1"/>
  <c r="AC26" i="1"/>
  <c r="AE26"/>
  <c r="BZ61" i="11"/>
  <c r="BZ57"/>
  <c r="BZ52"/>
  <c r="BZ51"/>
  <c r="BZ47"/>
  <c r="BZ44"/>
  <c r="BZ43"/>
  <c r="BZ29"/>
  <c r="BZ26"/>
  <c r="BZ19"/>
  <c r="AX60" i="2"/>
  <c r="BR60" i="11" s="1"/>
  <c r="BX60" s="1"/>
  <c r="BZ60" s="1"/>
  <c r="AX35" i="2"/>
  <c r="BR35" i="11" s="1"/>
  <c r="BX35" s="1"/>
  <c r="BZ35" s="1"/>
  <c r="AX34" i="2"/>
  <c r="BR34" i="11" s="1"/>
  <c r="BX34" s="1"/>
  <c r="BZ34" s="1"/>
  <c r="AX33" i="2"/>
  <c r="BR33" i="11" s="1"/>
  <c r="BX33" s="1"/>
  <c r="BZ33" s="1"/>
  <c r="AX32" i="2"/>
  <c r="BR32" i="11" s="1"/>
  <c r="BX32" s="1"/>
  <c r="BZ32" s="1"/>
  <c r="AX24" i="2"/>
  <c r="BR24" i="11" s="1"/>
  <c r="BX24" s="1"/>
  <c r="BZ24" s="1"/>
  <c r="AX23" i="2"/>
  <c r="BR23" i="11" s="1"/>
  <c r="BX23" s="1"/>
  <c r="BZ23" s="1"/>
  <c r="AX22" i="2"/>
  <c r="BR22" i="11" s="1"/>
  <c r="BX22" s="1"/>
  <c r="BZ22" s="1"/>
  <c r="AE25" i="1"/>
  <c r="AZ14" i="4" l="1"/>
  <c r="BM14" s="1"/>
  <c r="M15"/>
  <c r="AZ15" s="1"/>
  <c r="BM15" s="1"/>
  <c r="AZ16"/>
  <c r="BM16" s="1"/>
  <c r="AZ17"/>
  <c r="BM17" s="1"/>
  <c r="AZ18"/>
  <c r="BM18" s="1"/>
  <c r="AZ19"/>
  <c r="BM19" s="1"/>
  <c r="AZ20"/>
  <c r="BM20" s="1"/>
  <c r="AZ21"/>
  <c r="BM21"/>
  <c r="AZ22"/>
  <c r="BM22" s="1"/>
  <c r="AZ23"/>
  <c r="BM23" s="1"/>
  <c r="AZ24"/>
  <c r="BM24" s="1"/>
  <c r="AT25"/>
  <c r="AZ25"/>
  <c r="BM25" s="1"/>
  <c r="M26"/>
  <c r="AZ26"/>
  <c r="BM26" s="1"/>
  <c r="AZ27"/>
  <c r="BM27"/>
  <c r="AZ28"/>
  <c r="BM28" s="1"/>
  <c r="AZ29"/>
  <c r="BM29" s="1"/>
  <c r="AZ30"/>
  <c r="BM30" s="1"/>
  <c r="AZ31"/>
  <c r="BM31"/>
  <c r="AZ32"/>
  <c r="BM32"/>
  <c r="AZ33"/>
  <c r="BM33" s="1"/>
  <c r="AZ34"/>
  <c r="BM34" s="1"/>
  <c r="AZ35"/>
  <c r="BM35" s="1"/>
  <c r="AZ36"/>
  <c r="BM36"/>
  <c r="AZ37"/>
  <c r="BM37" s="1"/>
  <c r="AV38"/>
  <c r="AZ38" s="1"/>
  <c r="BM38" s="1"/>
  <c r="AZ39"/>
  <c r="BM39" s="1"/>
  <c r="AZ40"/>
  <c r="BM40" s="1"/>
  <c r="AZ41"/>
  <c r="BM41"/>
  <c r="AZ42"/>
  <c r="BM42" s="1"/>
  <c r="AZ43"/>
  <c r="BM43" s="1"/>
  <c r="M44"/>
  <c r="AZ44" s="1"/>
  <c r="BM44" s="1"/>
  <c r="AZ45"/>
  <c r="BM45" s="1"/>
  <c r="AZ46"/>
  <c r="BM46" s="1"/>
  <c r="AZ47"/>
  <c r="BM47" s="1"/>
  <c r="AZ48"/>
  <c r="BM48"/>
  <c r="M49"/>
  <c r="AZ49"/>
  <c r="BM49" s="1"/>
  <c r="AZ50"/>
  <c r="BM50"/>
  <c r="AZ51"/>
  <c r="BM51" s="1"/>
  <c r="AZ52"/>
  <c r="BM52" s="1"/>
  <c r="AZ53"/>
  <c r="BM53" s="1"/>
  <c r="AZ54"/>
  <c r="BM54"/>
  <c r="AZ55"/>
  <c r="BM55" s="1"/>
  <c r="AZ56"/>
  <c r="BM56" s="1"/>
  <c r="AZ57"/>
  <c r="BM57" s="1"/>
  <c r="AZ58"/>
  <c r="BM58"/>
  <c r="AZ59"/>
  <c r="BM59" s="1"/>
  <c r="AZ60"/>
  <c r="BM60" s="1"/>
  <c r="AZ61"/>
  <c r="BM61" s="1"/>
  <c r="AZ62"/>
  <c r="BM62"/>
  <c r="AZ63"/>
  <c r="BM63" s="1"/>
  <c r="AZ64"/>
  <c r="BM64" s="1"/>
  <c r="U14" i="5"/>
  <c r="W14"/>
  <c r="AQ14"/>
  <c r="AS14"/>
  <c r="U15"/>
  <c r="W15"/>
  <c r="AQ15"/>
  <c r="U16"/>
  <c r="W16" s="1"/>
  <c r="AQ16"/>
  <c r="AS16" s="1"/>
  <c r="U17"/>
  <c r="W17" s="1"/>
  <c r="AQ17"/>
  <c r="AS17" s="1"/>
  <c r="U18"/>
  <c r="W18" s="1"/>
  <c r="AQ18"/>
  <c r="AS18" s="1"/>
  <c r="U19"/>
  <c r="W19" s="1"/>
  <c r="AQ19"/>
  <c r="AS19" s="1"/>
  <c r="W20"/>
  <c r="AQ20"/>
  <c r="AS20"/>
  <c r="W21"/>
  <c r="AQ21"/>
  <c r="AS21" s="1"/>
  <c r="BO21" i="4" s="1"/>
  <c r="BU21" s="1"/>
  <c r="I22" i="5"/>
  <c r="U22"/>
  <c r="W22" s="1"/>
  <c r="AQ22"/>
  <c r="AS22" s="1"/>
  <c r="U23"/>
  <c r="W23" s="1"/>
  <c r="AQ23"/>
  <c r="AS23" s="1"/>
  <c r="U24"/>
  <c r="W24" s="1"/>
  <c r="AQ24"/>
  <c r="AS24" s="1"/>
  <c r="U25"/>
  <c r="W25" s="1"/>
  <c r="AQ25"/>
  <c r="AS25" s="1"/>
  <c r="I26"/>
  <c r="U26"/>
  <c r="W26"/>
  <c r="AQ26"/>
  <c r="U27"/>
  <c r="W27" s="1"/>
  <c r="AQ27"/>
  <c r="AS27" s="1"/>
  <c r="W28"/>
  <c r="AQ28"/>
  <c r="K29"/>
  <c r="U29"/>
  <c r="W29"/>
  <c r="AQ29"/>
  <c r="AS29"/>
  <c r="U30"/>
  <c r="W30"/>
  <c r="AQ30"/>
  <c r="AS30"/>
  <c r="W31"/>
  <c r="AQ31"/>
  <c r="AS31" s="1"/>
  <c r="BO31" i="4" s="1"/>
  <c r="BU31" s="1"/>
  <c r="U32" i="5"/>
  <c r="W32" s="1"/>
  <c r="AQ32"/>
  <c r="AS32" s="1"/>
  <c r="BO32" i="4" s="1"/>
  <c r="BU32" s="1"/>
  <c r="W33" i="5"/>
  <c r="AQ33"/>
  <c r="AS33" s="1"/>
  <c r="U34"/>
  <c r="W34" s="1"/>
  <c r="AQ34"/>
  <c r="U35"/>
  <c r="W35" s="1"/>
  <c r="AQ35"/>
  <c r="W36"/>
  <c r="AQ36"/>
  <c r="W37"/>
  <c r="AQ37"/>
  <c r="AS37"/>
  <c r="U38"/>
  <c r="W38"/>
  <c r="AQ38"/>
  <c r="AS38"/>
  <c r="U39"/>
  <c r="W39"/>
  <c r="AQ39"/>
  <c r="AS39"/>
  <c r="U40"/>
  <c r="W40"/>
  <c r="AQ40"/>
  <c r="AS40"/>
  <c r="U41"/>
  <c r="W41"/>
  <c r="AQ41"/>
  <c r="AS41"/>
  <c r="U42"/>
  <c r="W42"/>
  <c r="AQ42"/>
  <c r="AS42"/>
  <c r="W43"/>
  <c r="AQ43"/>
  <c r="AS43" s="1"/>
  <c r="U44"/>
  <c r="W44" s="1"/>
  <c r="AQ44"/>
  <c r="AS44" s="1"/>
  <c r="U45"/>
  <c r="W45" s="1"/>
  <c r="AQ45"/>
  <c r="AS45" s="1"/>
  <c r="U46"/>
  <c r="W46"/>
  <c r="AQ46"/>
  <c r="AS46"/>
  <c r="U47"/>
  <c r="W47"/>
  <c r="AQ47"/>
  <c r="AS47"/>
  <c r="W48"/>
  <c r="AQ48"/>
  <c r="AS48" s="1"/>
  <c r="BO48" i="4" s="1"/>
  <c r="BU48" s="1"/>
  <c r="U49" i="5"/>
  <c r="W49"/>
  <c r="AQ49"/>
  <c r="U50"/>
  <c r="W50" s="1"/>
  <c r="AQ50"/>
  <c r="U51"/>
  <c r="W51" s="1"/>
  <c r="AQ51"/>
  <c r="U52"/>
  <c r="W52" s="1"/>
  <c r="AQ52"/>
  <c r="I53"/>
  <c r="W53" s="1"/>
  <c r="AQ53"/>
  <c r="W54"/>
  <c r="AQ54"/>
  <c r="W55"/>
  <c r="AQ55"/>
  <c r="AS55"/>
  <c r="U56"/>
  <c r="W56"/>
  <c r="AQ56"/>
  <c r="AS56"/>
  <c r="I57"/>
  <c r="U57"/>
  <c r="W57" s="1"/>
  <c r="AQ57"/>
  <c r="W58"/>
  <c r="AQ58"/>
  <c r="AS58"/>
  <c r="U59"/>
  <c r="W59"/>
  <c r="AQ59"/>
  <c r="AS59"/>
  <c r="U60"/>
  <c r="W60"/>
  <c r="AQ60"/>
  <c r="AS60"/>
  <c r="I61"/>
  <c r="U61"/>
  <c r="W61" s="1"/>
  <c r="AQ61"/>
  <c r="U62"/>
  <c r="W62" s="1"/>
  <c r="AQ62"/>
  <c r="U63"/>
  <c r="W63"/>
  <c r="AQ63"/>
  <c r="AS63"/>
  <c r="U64"/>
  <c r="W64"/>
  <c r="AQ64"/>
  <c r="AS64"/>
  <c r="K14" i="6"/>
  <c r="O14"/>
  <c r="W14"/>
  <c r="AC14" s="1"/>
  <c r="K15"/>
  <c r="O15"/>
  <c r="W15"/>
  <c r="AC15" s="1"/>
  <c r="K16"/>
  <c r="O16"/>
  <c r="W16"/>
  <c r="AC16" s="1"/>
  <c r="G17"/>
  <c r="K17" s="1"/>
  <c r="O17"/>
  <c r="W17"/>
  <c r="AC17" s="1"/>
  <c r="K18"/>
  <c r="O18"/>
  <c r="AE18" s="1"/>
  <c r="W18"/>
  <c r="AC18"/>
  <c r="K19"/>
  <c r="Q19"/>
  <c r="O19" s="1"/>
  <c r="W19"/>
  <c r="AC19"/>
  <c r="K20"/>
  <c r="O20"/>
  <c r="W20"/>
  <c r="AC20" s="1"/>
  <c r="AE20"/>
  <c r="K21"/>
  <c r="O21"/>
  <c r="AC21"/>
  <c r="AE21"/>
  <c r="K22"/>
  <c r="O22"/>
  <c r="Q22"/>
  <c r="W22"/>
  <c r="AC22" s="1"/>
  <c r="K23"/>
  <c r="O23"/>
  <c r="W23"/>
  <c r="AC23" s="1"/>
  <c r="G24"/>
  <c r="K24" s="1"/>
  <c r="O24"/>
  <c r="W24"/>
  <c r="AC24" s="1"/>
  <c r="G25"/>
  <c r="K25" s="1"/>
  <c r="Q25"/>
  <c r="O25" s="1"/>
  <c r="W25"/>
  <c r="AC25" s="1"/>
  <c r="K26"/>
  <c r="Q26"/>
  <c r="O26" s="1"/>
  <c r="W26"/>
  <c r="AC26" s="1"/>
  <c r="K27"/>
  <c r="O27"/>
  <c r="AE27" s="1"/>
  <c r="W27"/>
  <c r="AC27"/>
  <c r="K28"/>
  <c r="Q28"/>
  <c r="O28" s="1"/>
  <c r="W28"/>
  <c r="AC28"/>
  <c r="G29"/>
  <c r="K29" s="1"/>
  <c r="O29"/>
  <c r="W29"/>
  <c r="AC29"/>
  <c r="K30"/>
  <c r="O30"/>
  <c r="W30"/>
  <c r="AC30" s="1"/>
  <c r="AE30"/>
  <c r="K31"/>
  <c r="O31"/>
  <c r="AE31" s="1"/>
  <c r="W31"/>
  <c r="AC31"/>
  <c r="K32"/>
  <c r="O32"/>
  <c r="W32"/>
  <c r="AC32" s="1"/>
  <c r="AE32"/>
  <c r="K33"/>
  <c r="O33"/>
  <c r="AE33" s="1"/>
  <c r="W33"/>
  <c r="AC33"/>
  <c r="K34"/>
  <c r="O34"/>
  <c r="W34"/>
  <c r="AC34" s="1"/>
  <c r="AE34"/>
  <c r="K35"/>
  <c r="O35"/>
  <c r="AE35" s="1"/>
  <c r="W35"/>
  <c r="AC35"/>
  <c r="K36"/>
  <c r="O36"/>
  <c r="AC36"/>
  <c r="K37"/>
  <c r="O37"/>
  <c r="W37"/>
  <c r="AC37" s="1"/>
  <c r="K38"/>
  <c r="O38"/>
  <c r="W38"/>
  <c r="AC38" s="1"/>
  <c r="K39"/>
  <c r="O39"/>
  <c r="W39"/>
  <c r="AC39" s="1"/>
  <c r="K40"/>
  <c r="O40"/>
  <c r="W40"/>
  <c r="AC40" s="1"/>
  <c r="K41"/>
  <c r="O41"/>
  <c r="W41"/>
  <c r="AC41" s="1"/>
  <c r="K42"/>
  <c r="O42"/>
  <c r="W42"/>
  <c r="AC42" s="1"/>
  <c r="K43"/>
  <c r="O43"/>
  <c r="W43"/>
  <c r="AC43" s="1"/>
  <c r="K44"/>
  <c r="O44"/>
  <c r="W44"/>
  <c r="AC44" s="1"/>
  <c r="K45"/>
  <c r="O45"/>
  <c r="W45"/>
  <c r="AC45" s="1"/>
  <c r="K46"/>
  <c r="O46"/>
  <c r="W46"/>
  <c r="AC46" s="1"/>
  <c r="K47"/>
  <c r="O47"/>
  <c r="W47"/>
  <c r="AC47" s="1"/>
  <c r="K48"/>
  <c r="O48"/>
  <c r="W48"/>
  <c r="AC48" s="1"/>
  <c r="K49"/>
  <c r="O49"/>
  <c r="W49"/>
  <c r="AC49" s="1"/>
  <c r="K50"/>
  <c r="O50"/>
  <c r="W50"/>
  <c r="AC50" s="1"/>
  <c r="K51"/>
  <c r="O51"/>
  <c r="W51"/>
  <c r="AC51" s="1"/>
  <c r="K52"/>
  <c r="O52"/>
  <c r="W52"/>
  <c r="AC52" s="1"/>
  <c r="K53"/>
  <c r="O53"/>
  <c r="W53"/>
  <c r="AC53" s="1"/>
  <c r="K54"/>
  <c r="O54"/>
  <c r="W54"/>
  <c r="AC54" s="1"/>
  <c r="K55"/>
  <c r="O55"/>
  <c r="W55"/>
  <c r="AC55" s="1"/>
  <c r="K56"/>
  <c r="O56"/>
  <c r="W56"/>
  <c r="AC56" s="1"/>
  <c r="K57"/>
  <c r="O57"/>
  <c r="W57"/>
  <c r="AC57" s="1"/>
  <c r="K58"/>
  <c r="O58"/>
  <c r="W58"/>
  <c r="AC58" s="1"/>
  <c r="K59"/>
  <c r="AE59" s="1"/>
  <c r="O59"/>
  <c r="W59"/>
  <c r="AC59" s="1"/>
  <c r="G60"/>
  <c r="K60" s="1"/>
  <c r="AE60" s="1"/>
  <c r="O60"/>
  <c r="W60"/>
  <c r="AC60" s="1"/>
  <c r="K61"/>
  <c r="O61"/>
  <c r="AE61" s="1"/>
  <c r="W61"/>
  <c r="AC61"/>
  <c r="K62"/>
  <c r="O62"/>
  <c r="W62"/>
  <c r="AC62" s="1"/>
  <c r="AE62"/>
  <c r="I63"/>
  <c r="K63"/>
  <c r="O63"/>
  <c r="W63"/>
  <c r="AC63" s="1"/>
  <c r="K64"/>
  <c r="O64"/>
  <c r="W64"/>
  <c r="AC64" s="1"/>
  <c r="BA14" i="7"/>
  <c r="M15"/>
  <c r="BA15"/>
  <c r="M16"/>
  <c r="BA16" s="1"/>
  <c r="BA17"/>
  <c r="BA18"/>
  <c r="BA19"/>
  <c r="AO20"/>
  <c r="BA20"/>
  <c r="BA21"/>
  <c r="BA22"/>
  <c r="BA23"/>
  <c r="BA24"/>
  <c r="AY25"/>
  <c r="BA25" s="1"/>
  <c r="M26"/>
  <c r="BA26"/>
  <c r="M27"/>
  <c r="BA27" s="1"/>
  <c r="BA28"/>
  <c r="BA29"/>
  <c r="AO30"/>
  <c r="BA30"/>
  <c r="BA31"/>
  <c r="BA32"/>
  <c r="M33"/>
  <c r="BA33" s="1"/>
  <c r="BA34"/>
  <c r="BA35"/>
  <c r="BA36"/>
  <c r="BA37"/>
  <c r="BA38"/>
  <c r="BA39"/>
  <c r="BA40"/>
  <c r="BA41"/>
  <c r="BA42"/>
  <c r="M43"/>
  <c r="BA43" s="1"/>
  <c r="M44"/>
  <c r="BA44"/>
  <c r="BA45"/>
  <c r="BA46"/>
  <c r="BA47"/>
  <c r="AO48"/>
  <c r="BA48" s="1"/>
  <c r="M49"/>
  <c r="BA49"/>
  <c r="BA50"/>
  <c r="BA51"/>
  <c r="BA52"/>
  <c r="BA53"/>
  <c r="M54"/>
  <c r="BA54" s="1"/>
  <c r="BA55"/>
  <c r="AO56"/>
  <c r="BA56"/>
  <c r="AO57"/>
  <c r="BA57"/>
  <c r="BA58"/>
  <c r="M59"/>
  <c r="BA59"/>
  <c r="BA60"/>
  <c r="AO61"/>
  <c r="BA61" s="1"/>
  <c r="AO62"/>
  <c r="BA62"/>
  <c r="BA63"/>
  <c r="M64"/>
  <c r="BA64" s="1"/>
  <c r="M14" i="8"/>
  <c r="AC14"/>
  <c r="AG14"/>
  <c r="M15"/>
  <c r="O15"/>
  <c r="AC15" s="1"/>
  <c r="AG15" s="1"/>
  <c r="M16"/>
  <c r="AC16"/>
  <c r="AG16" s="1"/>
  <c r="M17"/>
  <c r="AC17"/>
  <c r="AG17" s="1"/>
  <c r="M18"/>
  <c r="AC18"/>
  <c r="M19"/>
  <c r="AC19"/>
  <c r="M20"/>
  <c r="AC20"/>
  <c r="M21"/>
  <c r="AC21"/>
  <c r="AG21"/>
  <c r="BC21" i="7" s="1"/>
  <c r="BG21" s="1"/>
  <c r="BI21" s="1"/>
  <c r="M22" i="8"/>
  <c r="AC22"/>
  <c r="AG22" s="1"/>
  <c r="M23"/>
  <c r="O23"/>
  <c r="AC23" s="1"/>
  <c r="AG23" s="1"/>
  <c r="M24"/>
  <c r="AC24"/>
  <c r="AG24" s="1"/>
  <c r="M25"/>
  <c r="AC25"/>
  <c r="M26"/>
  <c r="AC26"/>
  <c r="M27"/>
  <c r="Y27"/>
  <c r="AC27" s="1"/>
  <c r="M28"/>
  <c r="AC28"/>
  <c r="M29"/>
  <c r="O29"/>
  <c r="Y29"/>
  <c r="M30"/>
  <c r="AC30"/>
  <c r="AG30" s="1"/>
  <c r="M31"/>
  <c r="AC31"/>
  <c r="AG31" s="1"/>
  <c r="M32"/>
  <c r="AC32"/>
  <c r="M33"/>
  <c r="AC33"/>
  <c r="M34"/>
  <c r="AC34"/>
  <c r="AG34" s="1"/>
  <c r="BC34" i="7" s="1"/>
  <c r="BG34" s="1"/>
  <c r="BI34" s="1"/>
  <c r="M35" i="8"/>
  <c r="AC35"/>
  <c r="AG35" s="1"/>
  <c r="BC35" i="7" s="1"/>
  <c r="BG35" s="1"/>
  <c r="BI35" s="1"/>
  <c r="M36" i="8"/>
  <c r="AC36"/>
  <c r="M37"/>
  <c r="AC37"/>
  <c r="AG37" s="1"/>
  <c r="M38"/>
  <c r="AC38"/>
  <c r="M39"/>
  <c r="AC39"/>
  <c r="AG39" s="1"/>
  <c r="M40"/>
  <c r="Q40"/>
  <c r="AC40" s="1"/>
  <c r="M41"/>
  <c r="AC41"/>
  <c r="M42"/>
  <c r="O42"/>
  <c r="AC42" s="1"/>
  <c r="AG42" s="1"/>
  <c r="M43"/>
  <c r="AC43"/>
  <c r="M44"/>
  <c r="O44"/>
  <c r="AC44" s="1"/>
  <c r="M45"/>
  <c r="AC45"/>
  <c r="M46"/>
  <c r="O46"/>
  <c r="AC46" s="1"/>
  <c r="AG46" s="1"/>
  <c r="M47"/>
  <c r="Q47"/>
  <c r="AC47" s="1"/>
  <c r="AG47" s="1"/>
  <c r="M48"/>
  <c r="AC48"/>
  <c r="AG48" s="1"/>
  <c r="M49"/>
  <c r="AC49"/>
  <c r="M50"/>
  <c r="O50"/>
  <c r="Y50"/>
  <c r="M51"/>
  <c r="O51"/>
  <c r="Y51"/>
  <c r="M52"/>
  <c r="AC52"/>
  <c r="AG52"/>
  <c r="M53"/>
  <c r="AC53"/>
  <c r="AG53" s="1"/>
  <c r="M54"/>
  <c r="AC54"/>
  <c r="AG54" s="1"/>
  <c r="M55"/>
  <c r="AC55"/>
  <c r="AG55" s="1"/>
  <c r="BC55" i="7" s="1"/>
  <c r="BG55" s="1"/>
  <c r="BI55" s="1"/>
  <c r="M56" i="8"/>
  <c r="AC56"/>
  <c r="AG56" s="1"/>
  <c r="M57"/>
  <c r="AC57"/>
  <c r="M58"/>
  <c r="O58"/>
  <c r="AC58" s="1"/>
  <c r="AG58" s="1"/>
  <c r="BC58" i="7" s="1"/>
  <c r="BG58" s="1"/>
  <c r="BI58" s="1"/>
  <c r="M59" i="8"/>
  <c r="O59"/>
  <c r="AC59" s="1"/>
  <c r="M60"/>
  <c r="Q60"/>
  <c r="AC60"/>
  <c r="AG60" s="1"/>
  <c r="M61"/>
  <c r="O61"/>
  <c r="Q61"/>
  <c r="M62"/>
  <c r="AC62"/>
  <c r="M63"/>
  <c r="Y63"/>
  <c r="AC63"/>
  <c r="AG63" s="1"/>
  <c r="M64"/>
  <c r="O64"/>
  <c r="AC64" s="1"/>
  <c r="AG64" s="1"/>
  <c r="G14" i="9"/>
  <c r="Q14"/>
  <c r="M14" s="1"/>
  <c r="AE14" s="1"/>
  <c r="W14"/>
  <c r="AC14"/>
  <c r="G15"/>
  <c r="Q15"/>
  <c r="M15" s="1"/>
  <c r="AE15" s="1"/>
  <c r="W15"/>
  <c r="AC15"/>
  <c r="G16"/>
  <c r="Q16"/>
  <c r="M16" s="1"/>
  <c r="AE16" s="1"/>
  <c r="W16"/>
  <c r="AC16"/>
  <c r="G17"/>
  <c r="Q17"/>
  <c r="M17" s="1"/>
  <c r="AE17" s="1"/>
  <c r="W17"/>
  <c r="AC17"/>
  <c r="G18"/>
  <c r="Q18"/>
  <c r="M18" s="1"/>
  <c r="AE18" s="1"/>
  <c r="W18"/>
  <c r="AC18"/>
  <c r="G19"/>
  <c r="Q19"/>
  <c r="M19" s="1"/>
  <c r="AE19" s="1"/>
  <c r="W19"/>
  <c r="AC19"/>
  <c r="G20"/>
  <c r="O20"/>
  <c r="Q20"/>
  <c r="W20"/>
  <c r="AC20"/>
  <c r="G21"/>
  <c r="M21"/>
  <c r="W21"/>
  <c r="AC21"/>
  <c r="AE21"/>
  <c r="G22"/>
  <c r="M22"/>
  <c r="Q22"/>
  <c r="W22"/>
  <c r="AC22"/>
  <c r="AE22"/>
  <c r="G23"/>
  <c r="M23"/>
  <c r="Q23"/>
  <c r="W23"/>
  <c r="AC23"/>
  <c r="AE23"/>
  <c r="G24"/>
  <c r="M24"/>
  <c r="Q24"/>
  <c r="W24"/>
  <c r="AC24"/>
  <c r="AE24"/>
  <c r="G25"/>
  <c r="M25"/>
  <c r="Q25"/>
  <c r="W25"/>
  <c r="AC25"/>
  <c r="AE25"/>
  <c r="G26"/>
  <c r="M26"/>
  <c r="Q26"/>
  <c r="W26"/>
  <c r="AC26"/>
  <c r="AE26"/>
  <c r="I27"/>
  <c r="G27" s="1"/>
  <c r="M27"/>
  <c r="W27"/>
  <c r="AC27"/>
  <c r="I28"/>
  <c r="G28" s="1"/>
  <c r="M28"/>
  <c r="W28"/>
  <c r="AC28"/>
  <c r="I29"/>
  <c r="G29" s="1"/>
  <c r="M29"/>
  <c r="W29"/>
  <c r="AC29"/>
  <c r="G30"/>
  <c r="M30"/>
  <c r="Q30"/>
  <c r="W30"/>
  <c r="AC30"/>
  <c r="AE30"/>
  <c r="G31"/>
  <c r="M31"/>
  <c r="Q31"/>
  <c r="W31"/>
  <c r="AC31"/>
  <c r="AE31"/>
  <c r="G32"/>
  <c r="M32"/>
  <c r="Q32"/>
  <c r="W32"/>
  <c r="AC32"/>
  <c r="AE32"/>
  <c r="G33"/>
  <c r="M33"/>
  <c r="Q33"/>
  <c r="W33"/>
  <c r="AC33"/>
  <c r="AE33"/>
  <c r="G34"/>
  <c r="M34"/>
  <c r="Q34"/>
  <c r="W34"/>
  <c r="AC34"/>
  <c r="AE34"/>
  <c r="G35"/>
  <c r="M35"/>
  <c r="Q35"/>
  <c r="W35"/>
  <c r="AC35"/>
  <c r="AE35"/>
  <c r="G36"/>
  <c r="M36"/>
  <c r="AE36" s="1"/>
  <c r="W36"/>
  <c r="AC36"/>
  <c r="G37"/>
  <c r="Q37"/>
  <c r="M37" s="1"/>
  <c r="W37"/>
  <c r="AC37"/>
  <c r="I38"/>
  <c r="G38" s="1"/>
  <c r="AE38" s="1"/>
  <c r="M38"/>
  <c r="W38"/>
  <c r="AC38"/>
  <c r="G39"/>
  <c r="I39"/>
  <c r="M39"/>
  <c r="W39"/>
  <c r="AC39"/>
  <c r="I40"/>
  <c r="G40" s="1"/>
  <c r="AE40" s="1"/>
  <c r="M40"/>
  <c r="W40"/>
  <c r="AC40"/>
  <c r="G41"/>
  <c r="I41"/>
  <c r="M41"/>
  <c r="W41"/>
  <c r="AC41"/>
  <c r="I42"/>
  <c r="G42" s="1"/>
  <c r="AE42" s="1"/>
  <c r="M42"/>
  <c r="W42"/>
  <c r="AC42"/>
  <c r="G43"/>
  <c r="Q43"/>
  <c r="M43" s="1"/>
  <c r="W43"/>
  <c r="AC43"/>
  <c r="G44"/>
  <c r="M44"/>
  <c r="W44"/>
  <c r="AC44"/>
  <c r="AE44"/>
  <c r="I45"/>
  <c r="G45" s="1"/>
  <c r="M45"/>
  <c r="W45"/>
  <c r="AC45"/>
  <c r="I46"/>
  <c r="G46" s="1"/>
  <c r="M46"/>
  <c r="W46"/>
  <c r="AC46"/>
  <c r="G47"/>
  <c r="M47"/>
  <c r="AE47" s="1"/>
  <c r="W47"/>
  <c r="AC47"/>
  <c r="I48"/>
  <c r="G48" s="1"/>
  <c r="AE48" s="1"/>
  <c r="M48"/>
  <c r="W48"/>
  <c r="AC48"/>
  <c r="I49"/>
  <c r="G49" s="1"/>
  <c r="AE49" s="1"/>
  <c r="M49"/>
  <c r="W49"/>
  <c r="AC49"/>
  <c r="I50"/>
  <c r="G50" s="1"/>
  <c r="M50"/>
  <c r="W50"/>
  <c r="AC50"/>
  <c r="I51"/>
  <c r="G51" s="1"/>
  <c r="AE51" s="1"/>
  <c r="M51"/>
  <c r="W51"/>
  <c r="AC51"/>
  <c r="I52"/>
  <c r="G52" s="1"/>
  <c r="M52"/>
  <c r="W52"/>
  <c r="AC52"/>
  <c r="G53"/>
  <c r="M53"/>
  <c r="AE53" s="1"/>
  <c r="W53"/>
  <c r="AC53"/>
  <c r="I54"/>
  <c r="G54" s="1"/>
  <c r="AE54" s="1"/>
  <c r="M54"/>
  <c r="W54"/>
  <c r="AC54"/>
  <c r="I55"/>
  <c r="G55" s="1"/>
  <c r="M55"/>
  <c r="W55"/>
  <c r="AC55"/>
  <c r="I56"/>
  <c r="G56" s="1"/>
  <c r="AE56" s="1"/>
  <c r="M56"/>
  <c r="W56"/>
  <c r="AC56"/>
  <c r="G57"/>
  <c r="M57"/>
  <c r="W57"/>
  <c r="AC57"/>
  <c r="AE57"/>
  <c r="I58"/>
  <c r="G58" s="1"/>
  <c r="M58"/>
  <c r="W58"/>
  <c r="AC58"/>
  <c r="I59"/>
  <c r="G59" s="1"/>
  <c r="M59"/>
  <c r="W59"/>
  <c r="AC59"/>
  <c r="I60"/>
  <c r="G60" s="1"/>
  <c r="AE60" s="1"/>
  <c r="M60"/>
  <c r="W60"/>
  <c r="AC60"/>
  <c r="G61"/>
  <c r="M61"/>
  <c r="AE61" s="1"/>
  <c r="W61"/>
  <c r="AC61"/>
  <c r="I62"/>
  <c r="G62" s="1"/>
  <c r="AE62" s="1"/>
  <c r="M62"/>
  <c r="W62"/>
  <c r="AC62"/>
  <c r="I63"/>
  <c r="G63" s="1"/>
  <c r="M63"/>
  <c r="W63"/>
  <c r="AC63"/>
  <c r="G64"/>
  <c r="AE64" s="1"/>
  <c r="I64"/>
  <c r="M64"/>
  <c r="W64"/>
  <c r="AC64"/>
  <c r="BO29" i="4" l="1"/>
  <c r="BU29" s="1"/>
  <c r="BO17"/>
  <c r="BU17" s="1"/>
  <c r="BW17" s="1"/>
  <c r="AE63" i="6"/>
  <c r="AE57"/>
  <c r="AE55"/>
  <c r="AE53"/>
  <c r="AE51"/>
  <c r="AE49"/>
  <c r="AE47"/>
  <c r="AE45"/>
  <c r="AE43"/>
  <c r="AE41"/>
  <c r="AE39"/>
  <c r="AE37"/>
  <c r="AE22"/>
  <c r="AE17"/>
  <c r="BW32" i="4"/>
  <c r="BW31"/>
  <c r="BW29"/>
  <c r="BW21"/>
  <c r="AE26" i="6"/>
  <c r="AE16"/>
  <c r="AE14"/>
  <c r="BW48" i="4"/>
  <c r="AG59" i="8"/>
  <c r="AC51"/>
  <c r="AG51" s="1"/>
  <c r="AG49"/>
  <c r="AG43"/>
  <c r="AG33"/>
  <c r="AG32"/>
  <c r="AG28"/>
  <c r="BC28" i="7" s="1"/>
  <c r="BG28" s="1"/>
  <c r="BI28" s="1"/>
  <c r="AG27" i="8"/>
  <c r="AG26"/>
  <c r="AG25"/>
  <c r="AG19"/>
  <c r="AG18"/>
  <c r="BC64" i="7"/>
  <c r="BG64" s="1"/>
  <c r="BI64" s="1"/>
  <c r="BC59"/>
  <c r="BG59" s="1"/>
  <c r="BI59" s="1"/>
  <c r="BC53"/>
  <c r="BG53" s="1"/>
  <c r="BI53" s="1"/>
  <c r="BC51"/>
  <c r="BG51" s="1"/>
  <c r="BI51" s="1"/>
  <c r="BC49"/>
  <c r="BG49" s="1"/>
  <c r="BI49" s="1"/>
  <c r="BC48"/>
  <c r="BG48" s="1"/>
  <c r="BI48" s="1"/>
  <c r="BC46"/>
  <c r="BG46" s="1"/>
  <c r="BI46" s="1"/>
  <c r="BC43"/>
  <c r="BG43" s="1"/>
  <c r="BI43" s="1"/>
  <c r="BC39"/>
  <c r="BG39" s="1"/>
  <c r="BI39" s="1"/>
  <c r="BC37"/>
  <c r="BG37" s="1"/>
  <c r="BI37" s="1"/>
  <c r="BC32"/>
  <c r="BG32" s="1"/>
  <c r="BI32" s="1"/>
  <c r="BC30"/>
  <c r="BG30" s="1"/>
  <c r="BI30" s="1"/>
  <c r="BC27"/>
  <c r="BG27" s="1"/>
  <c r="BI27" s="1"/>
  <c r="BC24"/>
  <c r="BG24" s="1"/>
  <c r="BI24" s="1"/>
  <c r="BC22"/>
  <c r="BG22" s="1"/>
  <c r="BI22" s="1"/>
  <c r="BC19"/>
  <c r="BG19" s="1"/>
  <c r="BI19" s="1"/>
  <c r="BC17"/>
  <c r="BG17" s="1"/>
  <c r="BI17" s="1"/>
  <c r="BC15"/>
  <c r="BG15" s="1"/>
  <c r="BI15" s="1"/>
  <c r="BC14"/>
  <c r="BG14" s="1"/>
  <c r="BI14" s="1"/>
  <c r="AG38" i="8"/>
  <c r="BC63" i="7"/>
  <c r="BG63" s="1"/>
  <c r="BI63" s="1"/>
  <c r="BC60"/>
  <c r="BG60" s="1"/>
  <c r="BI60" s="1"/>
  <c r="BC56"/>
  <c r="BG56" s="1"/>
  <c r="BI56" s="1"/>
  <c r="BC54"/>
  <c r="BG54" s="1"/>
  <c r="BI54" s="1"/>
  <c r="BC52"/>
  <c r="BG52" s="1"/>
  <c r="BI52" s="1"/>
  <c r="BC47"/>
  <c r="BG47" s="1"/>
  <c r="BI47" s="1"/>
  <c r="BC42"/>
  <c r="BG42" s="1"/>
  <c r="BI42" s="1"/>
  <c r="BC38"/>
  <c r="BG38" s="1"/>
  <c r="BI38" s="1"/>
  <c r="BC33"/>
  <c r="BG33" s="1"/>
  <c r="BI33" s="1"/>
  <c r="BC31"/>
  <c r="BG31" s="1"/>
  <c r="BI31" s="1"/>
  <c r="BC26"/>
  <c r="BG26" s="1"/>
  <c r="BI26" s="1"/>
  <c r="BC25"/>
  <c r="BG25" s="1"/>
  <c r="BI25" s="1"/>
  <c r="BC23"/>
  <c r="BG23" s="1"/>
  <c r="BI23" s="1"/>
  <c r="BC18"/>
  <c r="BG18" s="1"/>
  <c r="BI18" s="1"/>
  <c r="BC16"/>
  <c r="BG16" s="1"/>
  <c r="BI16" s="1"/>
  <c r="AE59" i="9"/>
  <c r="AE58"/>
  <c r="AE52"/>
  <c r="AE50"/>
  <c r="AE46"/>
  <c r="AE45"/>
  <c r="AE29"/>
  <c r="AE28"/>
  <c r="AE27"/>
  <c r="M20"/>
  <c r="AE20" s="1"/>
  <c r="W20" i="10"/>
  <c r="AE63" i="9"/>
  <c r="AE55"/>
  <c r="AE43"/>
  <c r="AE41"/>
  <c r="AE39"/>
  <c r="AS53" i="5"/>
  <c r="AS52"/>
  <c r="BO52" i="4" s="1"/>
  <c r="BU52" s="1"/>
  <c r="BW52" s="1"/>
  <c r="AS51" i="5"/>
  <c r="AS50"/>
  <c r="BO50" i="4" s="1"/>
  <c r="BU50" s="1"/>
  <c r="BW50" s="1"/>
  <c r="AS35" i="5"/>
  <c r="AS34"/>
  <c r="AS54"/>
  <c r="BO54" i="4" s="1"/>
  <c r="BU54" s="1"/>
  <c r="BW54" s="1"/>
  <c r="AS49" i="5"/>
  <c r="AS36"/>
  <c r="AS28"/>
  <c r="AS26"/>
  <c r="AS15"/>
  <c r="BO15" i="4" s="1"/>
  <c r="BU15" s="1"/>
  <c r="BW15" s="1"/>
  <c r="BO58"/>
  <c r="BU58" s="1"/>
  <c r="BW58" s="1"/>
  <c r="BO57"/>
  <c r="BU57" s="1"/>
  <c r="BW57" s="1"/>
  <c r="BO47"/>
  <c r="BU47" s="1"/>
  <c r="BW47" s="1"/>
  <c r="BO44"/>
  <c r="BU44" s="1"/>
  <c r="BW44" s="1"/>
  <c r="BO41"/>
  <c r="BU41" s="1"/>
  <c r="BW41" s="1"/>
  <c r="BO40"/>
  <c r="BU40" s="1"/>
  <c r="BW40" s="1"/>
  <c r="BO36"/>
  <c r="BU36" s="1"/>
  <c r="BW36" s="1"/>
  <c r="BO35"/>
  <c r="BU35" s="1"/>
  <c r="BW35" s="1"/>
  <c r="BO30"/>
  <c r="BU30" s="1"/>
  <c r="BW30" s="1"/>
  <c r="BO28"/>
  <c r="BU28" s="1"/>
  <c r="BW28" s="1"/>
  <c r="BO23"/>
  <c r="BU23" s="1"/>
  <c r="BW23" s="1"/>
  <c r="BO22"/>
  <c r="BU22" s="1"/>
  <c r="BW22" s="1"/>
  <c r="BO20"/>
  <c r="BU20" s="1"/>
  <c r="BW20" s="1"/>
  <c r="BO18"/>
  <c r="BU18" s="1"/>
  <c r="BW18" s="1"/>
  <c r="BO16"/>
  <c r="BU16" s="1"/>
  <c r="BW16" s="1"/>
  <c r="BO14"/>
  <c r="BU14" s="1"/>
  <c r="BW14" s="1"/>
  <c r="AS62" i="5"/>
  <c r="BO62" i="4" s="1"/>
  <c r="BU62" s="1"/>
  <c r="BW62" s="1"/>
  <c r="BO64"/>
  <c r="BU64" s="1"/>
  <c r="BW64" s="1"/>
  <c r="BO63"/>
  <c r="BU63" s="1"/>
  <c r="BW63" s="1"/>
  <c r="BO60"/>
  <c r="BU60" s="1"/>
  <c r="BW60" s="1"/>
  <c r="BO59"/>
  <c r="BU59" s="1"/>
  <c r="BW59" s="1"/>
  <c r="BO56"/>
  <c r="BU56" s="1"/>
  <c r="BW56" s="1"/>
  <c r="BO55"/>
  <c r="BU55" s="1"/>
  <c r="BW55" s="1"/>
  <c r="BO53"/>
  <c r="BU53" s="1"/>
  <c r="BW53" s="1"/>
  <c r="BO51"/>
  <c r="BU51" s="1"/>
  <c r="BW51" s="1"/>
  <c r="BO49"/>
  <c r="BU49" s="1"/>
  <c r="BW49" s="1"/>
  <c r="BO46"/>
  <c r="BU46" s="1"/>
  <c r="BW46" s="1"/>
  <c r="BO45"/>
  <c r="BU45" s="1"/>
  <c r="BW45" s="1"/>
  <c r="BO43"/>
  <c r="BU43" s="1"/>
  <c r="BW43" s="1"/>
  <c r="BO42"/>
  <c r="BU42" s="1"/>
  <c r="BW42" s="1"/>
  <c r="BO39"/>
  <c r="BU39" s="1"/>
  <c r="BW39" s="1"/>
  <c r="BO38"/>
  <c r="BU38" s="1"/>
  <c r="BW38" s="1"/>
  <c r="BO37"/>
  <c r="BU37" s="1"/>
  <c r="BW37" s="1"/>
  <c r="BO34"/>
  <c r="BU34" s="1"/>
  <c r="BW34" s="1"/>
  <c r="BO33"/>
  <c r="BU33" s="1"/>
  <c r="BW33" s="1"/>
  <c r="BO27"/>
  <c r="BU27" s="1"/>
  <c r="BW27" s="1"/>
  <c r="BO26"/>
  <c r="BU26" s="1"/>
  <c r="BW26" s="1"/>
  <c r="BO25"/>
  <c r="BU25" s="1"/>
  <c r="BW25" s="1"/>
  <c r="BO24"/>
  <c r="BU24" s="1"/>
  <c r="BW24" s="1"/>
  <c r="BO19"/>
  <c r="BU19" s="1"/>
  <c r="BW19" s="1"/>
  <c r="AS61" i="5"/>
  <c r="BO61" i="4" s="1"/>
  <c r="BU61" s="1"/>
  <c r="BW61" s="1"/>
  <c r="AS57" i="5"/>
  <c r="AE25" i="6"/>
  <c r="AE64"/>
  <c r="AE58"/>
  <c r="AE56"/>
  <c r="AE54"/>
  <c r="AE52"/>
  <c r="AE50"/>
  <c r="AE48"/>
  <c r="AE46"/>
  <c r="AE44"/>
  <c r="AE42"/>
  <c r="AE40"/>
  <c r="AE38"/>
  <c r="AE36"/>
  <c r="AE28"/>
  <c r="AE23"/>
  <c r="AE19"/>
  <c r="AE15"/>
  <c r="AE29"/>
  <c r="AE24"/>
  <c r="AC50" i="8"/>
  <c r="AG50" s="1"/>
  <c r="BC50" i="7" s="1"/>
  <c r="BG50" s="1"/>
  <c r="BI50" s="1"/>
  <c r="AG45" i="8"/>
  <c r="BC45" i="7" s="1"/>
  <c r="BG45" s="1"/>
  <c r="BI45" s="1"/>
  <c r="AG44" i="8"/>
  <c r="BC44" i="7" s="1"/>
  <c r="BG44" s="1"/>
  <c r="BI44" s="1"/>
  <c r="AG41" i="8"/>
  <c r="BC41" i="7" s="1"/>
  <c r="BG41" s="1"/>
  <c r="BI41" s="1"/>
  <c r="AG40" i="8"/>
  <c r="BC40" i="7" s="1"/>
  <c r="BG40" s="1"/>
  <c r="BI40" s="1"/>
  <c r="AG36" i="8"/>
  <c r="BC36" i="7" s="1"/>
  <c r="BG36" s="1"/>
  <c r="BI36" s="1"/>
  <c r="AG20" i="8"/>
  <c r="BC20" i="7" s="1"/>
  <c r="BG20" s="1"/>
  <c r="BI20" s="1"/>
  <c r="AG62" i="8"/>
  <c r="BC62" i="7" s="1"/>
  <c r="BG62" s="1"/>
  <c r="BI62" s="1"/>
  <c r="AC61" i="8"/>
  <c r="AG61" s="1"/>
  <c r="BC61" i="7" s="1"/>
  <c r="BG61" s="1"/>
  <c r="BI61" s="1"/>
  <c r="AG57" i="8"/>
  <c r="BC57" i="7" s="1"/>
  <c r="BG57" s="1"/>
  <c r="BI57" s="1"/>
  <c r="AC29" i="8"/>
  <c r="AG29" s="1"/>
  <c r="BC29" i="7" s="1"/>
  <c r="BG29" s="1"/>
  <c r="BI29" s="1"/>
  <c r="AE37" i="9"/>
  <c r="S107" i="10" l="1"/>
  <c r="S106"/>
  <c r="S105"/>
  <c r="S104"/>
  <c r="S103"/>
  <c r="S102"/>
  <c r="S101"/>
  <c r="S100"/>
  <c r="BC107" i="11"/>
  <c r="BP107" s="1"/>
  <c r="BC106"/>
  <c r="BP106" s="1"/>
  <c r="BC105"/>
  <c r="BP105" s="1"/>
  <c r="BC104"/>
  <c r="BP104" s="1"/>
  <c r="BC103"/>
  <c r="BP103" s="1"/>
  <c r="M102"/>
  <c r="BC102" s="1"/>
  <c r="BP102" s="1"/>
  <c r="BC101"/>
  <c r="BP101" s="1"/>
  <c r="BC100"/>
  <c r="BP100" s="1"/>
  <c r="AV107" i="2"/>
  <c r="W107"/>
  <c r="O107"/>
  <c r="K107"/>
  <c r="AV106"/>
  <c r="W106"/>
  <c r="Y106" s="1"/>
  <c r="AV105"/>
  <c r="Y105"/>
  <c r="AV104"/>
  <c r="W104"/>
  <c r="Y104" s="1"/>
  <c r="AV103"/>
  <c r="Y103"/>
  <c r="AV102"/>
  <c r="W102"/>
  <c r="Y102" s="1"/>
  <c r="AV101"/>
  <c r="W101"/>
  <c r="K101"/>
  <c r="AV100"/>
  <c r="W100"/>
  <c r="O100"/>
  <c r="K100"/>
  <c r="AA107" i="1"/>
  <c r="W107"/>
  <c r="O107"/>
  <c r="G107"/>
  <c r="K107" s="1"/>
  <c r="AA106"/>
  <c r="AC106" s="1"/>
  <c r="O106"/>
  <c r="K106"/>
  <c r="AC105"/>
  <c r="O105"/>
  <c r="K105"/>
  <c r="AA104"/>
  <c r="W104"/>
  <c r="O104"/>
  <c r="K104"/>
  <c r="AC103"/>
  <c r="O103"/>
  <c r="K103"/>
  <c r="AA102"/>
  <c r="AC102" s="1"/>
  <c r="O102"/>
  <c r="K102"/>
  <c r="AA101"/>
  <c r="W101"/>
  <c r="O101"/>
  <c r="K101"/>
  <c r="AA100"/>
  <c r="W100"/>
  <c r="O100"/>
  <c r="K100"/>
  <c r="AZ107" i="4"/>
  <c r="BM107" s="1"/>
  <c r="AZ106"/>
  <c r="BM106" s="1"/>
  <c r="AZ105"/>
  <c r="BM105" s="1"/>
  <c r="AZ104"/>
  <c r="BM104" s="1"/>
  <c r="AZ103"/>
  <c r="BM103" s="1"/>
  <c r="AZ102"/>
  <c r="BM102" s="1"/>
  <c r="AZ101"/>
  <c r="BM101" s="1"/>
  <c r="AZ100"/>
  <c r="BM100" s="1"/>
  <c r="AQ107" i="5"/>
  <c r="U107"/>
  <c r="M107"/>
  <c r="AQ106"/>
  <c r="U106"/>
  <c r="W106" s="1"/>
  <c r="AQ105"/>
  <c r="W105"/>
  <c r="AQ104"/>
  <c r="U104"/>
  <c r="W104" s="1"/>
  <c r="AQ103"/>
  <c r="W103"/>
  <c r="AQ102"/>
  <c r="W102"/>
  <c r="AQ101"/>
  <c r="U101"/>
  <c r="I101"/>
  <c r="AQ100"/>
  <c r="W100"/>
  <c r="W107" i="6"/>
  <c r="AC107" s="1"/>
  <c r="O107"/>
  <c r="G107"/>
  <c r="K107" s="1"/>
  <c r="AC106"/>
  <c r="O106"/>
  <c r="K106"/>
  <c r="AC105"/>
  <c r="O105"/>
  <c r="K105"/>
  <c r="W104"/>
  <c r="AC104" s="1"/>
  <c r="O104"/>
  <c r="K104"/>
  <c r="AC103"/>
  <c r="O103"/>
  <c r="K103"/>
  <c r="AC102"/>
  <c r="O102"/>
  <c r="K102"/>
  <c r="W101"/>
  <c r="AC101" s="1"/>
  <c r="O101"/>
  <c r="K101"/>
  <c r="W100"/>
  <c r="AC100" s="1"/>
  <c r="O100"/>
  <c r="K100"/>
  <c r="BA108" i="7"/>
  <c r="BA107"/>
  <c r="BA106"/>
  <c r="BA105"/>
  <c r="BA104"/>
  <c r="M103"/>
  <c r="BA103" s="1"/>
  <c r="BA102"/>
  <c r="BA101"/>
  <c r="AC107" i="8"/>
  <c r="M107"/>
  <c r="AC106"/>
  <c r="M106"/>
  <c r="AC105"/>
  <c r="M105"/>
  <c r="AC104"/>
  <c r="M104"/>
  <c r="AC103"/>
  <c r="M103"/>
  <c r="AC102"/>
  <c r="M102"/>
  <c r="AC101"/>
  <c r="M101"/>
  <c r="AC100"/>
  <c r="M100"/>
  <c r="W107" i="9"/>
  <c r="M107"/>
  <c r="G107"/>
  <c r="W106"/>
  <c r="M106"/>
  <c r="I106"/>
  <c r="G106" s="1"/>
  <c r="W105"/>
  <c r="M105"/>
  <c r="G105"/>
  <c r="W104"/>
  <c r="M104"/>
  <c r="I104"/>
  <c r="G104" s="1"/>
  <c r="W103"/>
  <c r="M103"/>
  <c r="G103"/>
  <c r="W102"/>
  <c r="M102"/>
  <c r="G102"/>
  <c r="W101"/>
  <c r="M101"/>
  <c r="G101"/>
  <c r="W100"/>
  <c r="M100"/>
  <c r="G100"/>
  <c r="AE100" i="1" l="1"/>
  <c r="Y101" i="2"/>
  <c r="AX101" s="1"/>
  <c r="BR101" i="11" s="1"/>
  <c r="BX101" s="1"/>
  <c r="AX104" i="2"/>
  <c r="BR104" i="11" s="1"/>
  <c r="BX104" s="1"/>
  <c r="AX102" i="2"/>
  <c r="Y107"/>
  <c r="AC100" i="1"/>
  <c r="AC104"/>
  <c r="AC101"/>
  <c r="AC107"/>
  <c r="AS105" i="5"/>
  <c r="AS106"/>
  <c r="AG101" i="8"/>
  <c r="AG103"/>
  <c r="BC104" i="7" s="1"/>
  <c r="BG104" s="1"/>
  <c r="AG105" i="8"/>
  <c r="BC106" i="7" s="1"/>
  <c r="BG106" s="1"/>
  <c r="AG107" i="8"/>
  <c r="BC108" i="7" s="1"/>
  <c r="BG108" s="1"/>
  <c r="AS102" i="5"/>
  <c r="Y100" i="2"/>
  <c r="AX100" s="1"/>
  <c r="BR100" i="11" s="1"/>
  <c r="BX100" s="1"/>
  <c r="AX103" i="2"/>
  <c r="BR103" i="11" s="1"/>
  <c r="BX103" s="1"/>
  <c r="AX105" i="2"/>
  <c r="BR102" i="11"/>
  <c r="BX102" s="1"/>
  <c r="AS100" i="5"/>
  <c r="BO100" i="4" s="1"/>
  <c r="BU100" s="1"/>
  <c r="W101" i="5"/>
  <c r="AS101" s="1"/>
  <c r="BO101" i="4" s="1"/>
  <c r="BU101" s="1"/>
  <c r="AS103" i="5"/>
  <c r="BO103" i="4" s="1"/>
  <c r="BU103" s="1"/>
  <c r="W107" i="5"/>
  <c r="AS107" s="1"/>
  <c r="BO107" i="4" s="1"/>
  <c r="BU107" s="1"/>
  <c r="AG100" i="8"/>
  <c r="BC101" i="7" s="1"/>
  <c r="BG101" s="1"/>
  <c r="AG102" i="8"/>
  <c r="AG104"/>
  <c r="BC105" i="7" s="1"/>
  <c r="BG105" s="1"/>
  <c r="AG106" i="8"/>
  <c r="BC102" i="7"/>
  <c r="BG102" s="1"/>
  <c r="BC107"/>
  <c r="BG107" s="1"/>
  <c r="BO106" i="4"/>
  <c r="BU106" s="1"/>
  <c r="BO102"/>
  <c r="BU102" s="1"/>
  <c r="BC103" i="7"/>
  <c r="BG103" s="1"/>
  <c r="BR105" i="11"/>
  <c r="BX105" s="1"/>
  <c r="BO105" i="4"/>
  <c r="BU105" s="1"/>
  <c r="AX106" i="2"/>
  <c r="BR106" i="11" s="1"/>
  <c r="BX106" s="1"/>
  <c r="AX107" i="2"/>
  <c r="BR107" i="11" s="1"/>
  <c r="BX107" s="1"/>
  <c r="AS104" i="5"/>
  <c r="BO104" i="4" s="1"/>
  <c r="BU104" s="1"/>
  <c r="M82" i="10" l="1"/>
  <c r="S82" s="1"/>
  <c r="W82"/>
  <c r="BC82" i="11"/>
  <c r="BP82" s="1"/>
  <c r="AV82" i="2"/>
  <c r="W82"/>
  <c r="K82"/>
  <c r="AC82" i="1"/>
  <c r="O82"/>
  <c r="K82"/>
  <c r="AZ82" i="4"/>
  <c r="BM82" s="1"/>
  <c r="AQ82" i="5"/>
  <c r="U82"/>
  <c r="W82" s="1"/>
  <c r="AC82" i="6"/>
  <c r="O82"/>
  <c r="K82"/>
  <c r="BA83" i="7"/>
  <c r="M82" i="8"/>
  <c r="AC82"/>
  <c r="AC82" i="9"/>
  <c r="W82"/>
  <c r="M82"/>
  <c r="G82"/>
  <c r="Y82" i="2" l="1"/>
  <c r="AE82" i="1"/>
  <c r="AG82" i="8"/>
  <c r="AE82" i="6"/>
  <c r="AX82" i="2"/>
  <c r="BR82" i="11" s="1"/>
  <c r="BX82" s="1"/>
  <c r="BZ82" s="1"/>
  <c r="AS82" i="5"/>
  <c r="BO82" i="4" s="1"/>
  <c r="BU82" s="1"/>
  <c r="BW82" s="1"/>
  <c r="BC83" i="7"/>
  <c r="BG83" s="1"/>
  <c r="BI83" s="1"/>
  <c r="W94" i="2"/>
  <c r="AA94" i="1"/>
  <c r="W94"/>
  <c r="U94" i="5"/>
  <c r="Q94" i="9" l="1"/>
  <c r="W93" i="2"/>
  <c r="AA93" i="1"/>
  <c r="U93" i="5"/>
  <c r="Q93" i="9"/>
  <c r="W92" i="2"/>
  <c r="K92"/>
  <c r="AA92" i="1"/>
  <c r="W92"/>
  <c r="U92" i="5"/>
  <c r="I92"/>
  <c r="W92" i="6"/>
  <c r="Q92" i="9"/>
  <c r="AA91" i="1"/>
  <c r="W90" i="2"/>
  <c r="AA90" i="1"/>
  <c r="U90" i="5"/>
  <c r="Q90" i="9"/>
  <c r="W89" i="2"/>
  <c r="AA89" i="1"/>
  <c r="W89"/>
  <c r="U89" i="5"/>
  <c r="W89" i="6"/>
  <c r="Q89" i="9"/>
  <c r="AA88" i="1"/>
  <c r="Q88" i="9"/>
  <c r="W86" i="2"/>
  <c r="U86" i="5"/>
  <c r="Q86" i="9"/>
  <c r="W87" i="2"/>
  <c r="AA87" i="1"/>
  <c r="U87" i="5"/>
  <c r="Q87" i="9"/>
  <c r="M85" i="10" l="1"/>
  <c r="M84" i="11"/>
  <c r="W85" i="2"/>
  <c r="K85"/>
  <c r="W84"/>
  <c r="AA85" i="1"/>
  <c r="W85"/>
  <c r="Q85"/>
  <c r="M84" i="4"/>
  <c r="U85" i="5"/>
  <c r="I85"/>
  <c r="U84"/>
  <c r="W85" i="6"/>
  <c r="M85" i="7"/>
  <c r="AC85" i="8"/>
  <c r="Y84"/>
  <c r="AC84" s="1"/>
  <c r="I85" i="9"/>
  <c r="M111" i="11" l="1"/>
  <c r="W111" i="2"/>
  <c r="AA111" i="1"/>
  <c r="W111"/>
  <c r="U111" i="5"/>
  <c r="W111" i="6"/>
  <c r="M112" i="7"/>
  <c r="I112"/>
  <c r="Q111" i="9"/>
  <c r="G111" i="10"/>
  <c r="W110" i="2" l="1"/>
  <c r="AA110" i="1"/>
  <c r="U110" i="5"/>
  <c r="Q110" i="9"/>
  <c r="W109" i="2"/>
  <c r="K109"/>
  <c r="AA109" i="1"/>
  <c r="W109"/>
  <c r="Q109"/>
  <c r="AZ109" i="4"/>
  <c r="U109" i="5"/>
  <c r="W109" i="6"/>
  <c r="Q109"/>
  <c r="AC109" i="9"/>
  <c r="W109"/>
  <c r="G109"/>
  <c r="Q109"/>
  <c r="M109" s="1"/>
  <c r="AT108" i="2"/>
  <c r="W108"/>
  <c r="K108"/>
  <c r="AA108" i="1"/>
  <c r="W108"/>
  <c r="Q108"/>
  <c r="G108"/>
  <c r="AO108" i="5"/>
  <c r="U108"/>
  <c r="I108"/>
  <c r="W108" i="6"/>
  <c r="G108"/>
  <c r="AE108" i="8"/>
  <c r="Q108" i="9"/>
  <c r="AS99" i="11"/>
  <c r="M99"/>
  <c r="W99" i="2"/>
  <c r="K99"/>
  <c r="AA99" i="1"/>
  <c r="Q99"/>
  <c r="AR99" i="4"/>
  <c r="U99" i="5"/>
  <c r="M100" i="7"/>
  <c r="Q99" i="9"/>
  <c r="W98" i="2" l="1"/>
  <c r="AA98" i="1"/>
  <c r="U98" i="5"/>
  <c r="Q98" i="9"/>
  <c r="W97" i="2"/>
  <c r="AA97" i="1"/>
  <c r="U97" i="5"/>
  <c r="Q97" i="9"/>
  <c r="W96" i="2"/>
  <c r="AA96" i="1"/>
  <c r="U96" i="5"/>
  <c r="Q96" i="9"/>
  <c r="W95" i="2"/>
  <c r="AA95" i="1"/>
  <c r="U95" i="5"/>
  <c r="Q95" i="9"/>
  <c r="W79" i="2"/>
  <c r="AA79" i="1"/>
  <c r="U79" i="5"/>
  <c r="Y79" i="8"/>
  <c r="Q79" i="9"/>
  <c r="W78" i="2"/>
  <c r="K78"/>
  <c r="AA78" i="1"/>
  <c r="W78"/>
  <c r="U78" i="5"/>
  <c r="W78" i="6"/>
  <c r="Q78" i="9"/>
  <c r="W76" i="2"/>
  <c r="AA76" i="1"/>
  <c r="U76" i="5"/>
  <c r="Q76" i="9"/>
  <c r="W75" i="2"/>
  <c r="AA75" i="1"/>
  <c r="W75"/>
  <c r="U75" i="5"/>
  <c r="W75" i="6"/>
  <c r="Q75" i="9"/>
  <c r="W74" i="2"/>
  <c r="AA74" i="1"/>
  <c r="U74" i="5"/>
  <c r="Q74" i="9"/>
  <c r="AA73" i="1"/>
  <c r="Q73" i="9"/>
  <c r="M71" i="11"/>
  <c r="W71" i="2"/>
  <c r="AA71" i="1"/>
  <c r="U71" i="5"/>
  <c r="M72" i="7"/>
  <c r="Q71" i="9"/>
  <c r="W70"/>
  <c r="S109" i="10"/>
  <c r="S110"/>
  <c r="S111"/>
  <c r="S112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BC108" i="11"/>
  <c r="BC109"/>
  <c r="BP109" s="1"/>
  <c r="BC130"/>
  <c r="BP130" s="1"/>
  <c r="BC129"/>
  <c r="BP129" s="1"/>
  <c r="BC127"/>
  <c r="BP127" s="1"/>
  <c r="BC125"/>
  <c r="BP125" s="1"/>
  <c r="BC124"/>
  <c r="BP124" s="1"/>
  <c r="BC123"/>
  <c r="BP123" s="1"/>
  <c r="BC122"/>
  <c r="BP122" s="1"/>
  <c r="BC121"/>
  <c r="BP121" s="1"/>
  <c r="BC120"/>
  <c r="BP120" s="1"/>
  <c r="BC119"/>
  <c r="BP119" s="1"/>
  <c r="BC118"/>
  <c r="BP118" s="1"/>
  <c r="BC117"/>
  <c r="BP117" s="1"/>
  <c r="M116"/>
  <c r="BC116" s="1"/>
  <c r="BP116" s="1"/>
  <c r="BC115"/>
  <c r="BP115" s="1"/>
  <c r="BC114"/>
  <c r="BP114" s="1"/>
  <c r="M113"/>
  <c r="BC113" s="1"/>
  <c r="BP113" s="1"/>
  <c r="M112"/>
  <c r="BC112" s="1"/>
  <c r="BP112" s="1"/>
  <c r="Y108" i="2"/>
  <c r="Y109"/>
  <c r="AV108"/>
  <c r="AV109"/>
  <c r="AX109" s="1"/>
  <c r="AV130"/>
  <c r="W130"/>
  <c r="Y130" s="1"/>
  <c r="AV129"/>
  <c r="W129"/>
  <c r="Y129" s="1"/>
  <c r="Y128"/>
  <c r="AX128" s="1"/>
  <c r="BR128" i="11" s="1"/>
  <c r="BX128" s="1"/>
  <c r="AV127" i="2"/>
  <c r="Y127"/>
  <c r="AV125"/>
  <c r="W125"/>
  <c r="K125"/>
  <c r="AV124"/>
  <c r="W124"/>
  <c r="K124"/>
  <c r="AV123"/>
  <c r="W123"/>
  <c r="Y123" s="1"/>
  <c r="AV122"/>
  <c r="W122"/>
  <c r="K122"/>
  <c r="AV121"/>
  <c r="O121"/>
  <c r="Y121" s="1"/>
  <c r="AX121" s="1"/>
  <c r="AV120"/>
  <c r="Y120"/>
  <c r="W120"/>
  <c r="AV119"/>
  <c r="W119"/>
  <c r="K119"/>
  <c r="Y119" s="1"/>
  <c r="AV118"/>
  <c r="Y118"/>
  <c r="AV117"/>
  <c r="W117"/>
  <c r="K117"/>
  <c r="AV116"/>
  <c r="W116"/>
  <c r="K116"/>
  <c r="Y116" s="1"/>
  <c r="AV115"/>
  <c r="Y115"/>
  <c r="AV114"/>
  <c r="W114"/>
  <c r="Y114" s="1"/>
  <c r="AV113"/>
  <c r="W113"/>
  <c r="Y113" s="1"/>
  <c r="AV112"/>
  <c r="W112"/>
  <c r="Y112" s="1"/>
  <c r="K109" i="1"/>
  <c r="O109"/>
  <c r="AC108"/>
  <c r="AC109"/>
  <c r="W130"/>
  <c r="AC130" s="1"/>
  <c r="O130"/>
  <c r="K130"/>
  <c r="AA129"/>
  <c r="AC129" s="1"/>
  <c r="O129"/>
  <c r="K129"/>
  <c r="AE128"/>
  <c r="AC128"/>
  <c r="AC127"/>
  <c r="O127"/>
  <c r="K127"/>
  <c r="AA125"/>
  <c r="W125"/>
  <c r="O125"/>
  <c r="K125"/>
  <c r="AA124"/>
  <c r="W124"/>
  <c r="O124"/>
  <c r="K124"/>
  <c r="AA123"/>
  <c r="Y123"/>
  <c r="O123"/>
  <c r="K123"/>
  <c r="AA122"/>
  <c r="W122"/>
  <c r="O122"/>
  <c r="K122"/>
  <c r="AA121"/>
  <c r="AC121" s="1"/>
  <c r="O121"/>
  <c r="K121"/>
  <c r="AA120"/>
  <c r="AC120" s="1"/>
  <c r="O120"/>
  <c r="K120"/>
  <c r="AA119"/>
  <c r="W119"/>
  <c r="O119"/>
  <c r="K119"/>
  <c r="AC118"/>
  <c r="O118"/>
  <c r="K118"/>
  <c r="AE118" s="1"/>
  <c r="AA117"/>
  <c r="W117"/>
  <c r="AC117" s="1"/>
  <c r="O117"/>
  <c r="K117"/>
  <c r="AE117" s="1"/>
  <c r="AA116"/>
  <c r="AC116" s="1"/>
  <c r="O116"/>
  <c r="K116"/>
  <c r="AC115"/>
  <c r="O115"/>
  <c r="K115"/>
  <c r="AA114"/>
  <c r="AC114" s="1"/>
  <c r="O114"/>
  <c r="K114"/>
  <c r="AA113"/>
  <c r="AC113" s="1"/>
  <c r="O113"/>
  <c r="K113"/>
  <c r="AE113" s="1"/>
  <c r="AA112"/>
  <c r="AC112" s="1"/>
  <c r="O112"/>
  <c r="K112"/>
  <c r="BM109" i="4"/>
  <c r="AZ130"/>
  <c r="BM130" s="1"/>
  <c r="AZ129"/>
  <c r="BM129" s="1"/>
  <c r="AZ127"/>
  <c r="BM127" s="1"/>
  <c r="AZ125"/>
  <c r="BM125" s="1"/>
  <c r="AZ124"/>
  <c r="BM124" s="1"/>
  <c r="AZ123"/>
  <c r="BM123" s="1"/>
  <c r="AZ122"/>
  <c r="BM122" s="1"/>
  <c r="AZ121"/>
  <c r="BM121" s="1"/>
  <c r="AZ120"/>
  <c r="BM120" s="1"/>
  <c r="AZ119"/>
  <c r="BM119" s="1"/>
  <c r="AZ118"/>
  <c r="BM118" s="1"/>
  <c r="AZ117"/>
  <c r="BM117" s="1"/>
  <c r="AZ116"/>
  <c r="BM116" s="1"/>
  <c r="AZ115"/>
  <c r="BM115" s="1"/>
  <c r="AZ114"/>
  <c r="BM114" s="1"/>
  <c r="AZ113"/>
  <c r="BM113" s="1"/>
  <c r="AZ112"/>
  <c r="BM112" s="1"/>
  <c r="W108" i="5"/>
  <c r="W109"/>
  <c r="AQ109"/>
  <c r="AQ110"/>
  <c r="AQ130"/>
  <c r="U130"/>
  <c r="W130" s="1"/>
  <c r="AQ129"/>
  <c r="U129"/>
  <c r="W129" s="1"/>
  <c r="AQ128"/>
  <c r="W128"/>
  <c r="AQ127"/>
  <c r="W127"/>
  <c r="AQ125"/>
  <c r="U125"/>
  <c r="W125" s="1"/>
  <c r="AQ124"/>
  <c r="U124"/>
  <c r="I124"/>
  <c r="AQ123"/>
  <c r="U123"/>
  <c r="W123" s="1"/>
  <c r="AQ122"/>
  <c r="U122"/>
  <c r="I122"/>
  <c r="AQ121"/>
  <c r="M121"/>
  <c r="W121" s="1"/>
  <c r="AQ120"/>
  <c r="U120"/>
  <c r="W120" s="1"/>
  <c r="AQ119"/>
  <c r="U119"/>
  <c r="I119"/>
  <c r="AQ118"/>
  <c r="W118"/>
  <c r="AQ117"/>
  <c r="U117"/>
  <c r="I117"/>
  <c r="AQ116"/>
  <c r="U116"/>
  <c r="I116"/>
  <c r="AQ115"/>
  <c r="W115"/>
  <c r="AQ114"/>
  <c r="W114"/>
  <c r="AQ113"/>
  <c r="U113"/>
  <c r="W113" s="1"/>
  <c r="AQ112"/>
  <c r="U112"/>
  <c r="W112" s="1"/>
  <c r="K108" i="6"/>
  <c r="K109"/>
  <c r="K110"/>
  <c r="K111"/>
  <c r="O108"/>
  <c r="O109"/>
  <c r="O110"/>
  <c r="AC108"/>
  <c r="AC109"/>
  <c r="AC110"/>
  <c r="W130"/>
  <c r="AC130" s="1"/>
  <c r="O130"/>
  <c r="K130"/>
  <c r="AC129"/>
  <c r="O129"/>
  <c r="K129"/>
  <c r="AE128"/>
  <c r="AC128"/>
  <c r="AC127"/>
  <c r="O127"/>
  <c r="K127"/>
  <c r="W125"/>
  <c r="AC125" s="1"/>
  <c r="O125"/>
  <c r="K125"/>
  <c r="W124"/>
  <c r="AC124" s="1"/>
  <c r="O124"/>
  <c r="K124"/>
  <c r="Y123"/>
  <c r="AC123" s="1"/>
  <c r="O123"/>
  <c r="K123"/>
  <c r="W122"/>
  <c r="AC122" s="1"/>
  <c r="O122"/>
  <c r="K122"/>
  <c r="AC121"/>
  <c r="O121"/>
  <c r="K121"/>
  <c r="AC120"/>
  <c r="O120"/>
  <c r="K120"/>
  <c r="W119"/>
  <c r="AC119" s="1"/>
  <c r="O119"/>
  <c r="K119"/>
  <c r="AC118"/>
  <c r="O118"/>
  <c r="K118"/>
  <c r="W117"/>
  <c r="AC117" s="1"/>
  <c r="O117"/>
  <c r="K117"/>
  <c r="AC116"/>
  <c r="O116"/>
  <c r="K116"/>
  <c r="AC115"/>
  <c r="O115"/>
  <c r="K115"/>
  <c r="AC114"/>
  <c r="O114"/>
  <c r="K114"/>
  <c r="AC113"/>
  <c r="O113"/>
  <c r="K113"/>
  <c r="AC112"/>
  <c r="O112"/>
  <c r="K112"/>
  <c r="BA109" i="7"/>
  <c r="BA110"/>
  <c r="BA111"/>
  <c r="BA112"/>
  <c r="BA131"/>
  <c r="BA130"/>
  <c r="BA129"/>
  <c r="BA128"/>
  <c r="BA127"/>
  <c r="BA126"/>
  <c r="BA125"/>
  <c r="BA124"/>
  <c r="BA123"/>
  <c r="BA122"/>
  <c r="BA121"/>
  <c r="BA120"/>
  <c r="BA119"/>
  <c r="BA118"/>
  <c r="M117"/>
  <c r="BA117" s="1"/>
  <c r="BA116"/>
  <c r="BA115"/>
  <c r="M114"/>
  <c r="BA114" s="1"/>
  <c r="M113"/>
  <c r="BA113" s="1"/>
  <c r="AC108" i="8"/>
  <c r="AC109"/>
  <c r="AC110"/>
  <c r="AC111"/>
  <c r="M99"/>
  <c r="M108"/>
  <c r="M109"/>
  <c r="M110"/>
  <c r="M111"/>
  <c r="AC130"/>
  <c r="M130"/>
  <c r="AC129"/>
  <c r="M129"/>
  <c r="AC128"/>
  <c r="M128"/>
  <c r="AC127"/>
  <c r="M127"/>
  <c r="M126"/>
  <c r="AC125"/>
  <c r="M125"/>
  <c r="AC124"/>
  <c r="M124"/>
  <c r="AC123"/>
  <c r="M123"/>
  <c r="AC122"/>
  <c r="M122"/>
  <c r="AC121"/>
  <c r="M121"/>
  <c r="AC120"/>
  <c r="M120"/>
  <c r="AC119"/>
  <c r="M119"/>
  <c r="AC118"/>
  <c r="M118"/>
  <c r="AC117"/>
  <c r="M117"/>
  <c r="AC116"/>
  <c r="M116"/>
  <c r="AC115"/>
  <c r="M115"/>
  <c r="AC114"/>
  <c r="M114"/>
  <c r="AC113"/>
  <c r="M113"/>
  <c r="Y112"/>
  <c r="AC112" s="1"/>
  <c r="M112"/>
  <c r="AC130" i="9"/>
  <c r="W130"/>
  <c r="M130"/>
  <c r="I130"/>
  <c r="G130" s="1"/>
  <c r="AE130" s="1"/>
  <c r="AC129"/>
  <c r="W129"/>
  <c r="M129"/>
  <c r="I129"/>
  <c r="G129" s="1"/>
  <c r="AE128"/>
  <c r="AC128"/>
  <c r="AC127"/>
  <c r="W127"/>
  <c r="M127"/>
  <c r="G127"/>
  <c r="AE126"/>
  <c r="AC125"/>
  <c r="W125"/>
  <c r="M125"/>
  <c r="G125"/>
  <c r="AC124"/>
  <c r="W124"/>
  <c r="M124"/>
  <c r="G124"/>
  <c r="AC123"/>
  <c r="W123"/>
  <c r="M123"/>
  <c r="I123"/>
  <c r="G123" s="1"/>
  <c r="AC122"/>
  <c r="W122"/>
  <c r="M122"/>
  <c r="G122"/>
  <c r="AC121"/>
  <c r="W121"/>
  <c r="M121"/>
  <c r="I121"/>
  <c r="G121" s="1"/>
  <c r="AC120"/>
  <c r="W120"/>
  <c r="M120"/>
  <c r="G120"/>
  <c r="AC119"/>
  <c r="W119"/>
  <c r="M119"/>
  <c r="G119"/>
  <c r="AC118"/>
  <c r="W118"/>
  <c r="M118"/>
  <c r="G118"/>
  <c r="AC117"/>
  <c r="W117"/>
  <c r="M117"/>
  <c r="G117"/>
  <c r="AC116"/>
  <c r="W116"/>
  <c r="M116"/>
  <c r="G116"/>
  <c r="AC115"/>
  <c r="W115"/>
  <c r="M115"/>
  <c r="G115"/>
  <c r="AC114"/>
  <c r="W114"/>
  <c r="M114"/>
  <c r="G114"/>
  <c r="AC113"/>
  <c r="W113"/>
  <c r="M113"/>
  <c r="I113"/>
  <c r="G113" s="1"/>
  <c r="AE113" s="1"/>
  <c r="AC112"/>
  <c r="W112"/>
  <c r="M112"/>
  <c r="I112"/>
  <c r="G112" s="1"/>
  <c r="BR121" i="11" l="1"/>
  <c r="AX119" i="2"/>
  <c r="BR119" i="11" s="1"/>
  <c r="BX119" s="1"/>
  <c r="Y124" i="2"/>
  <c r="AX124" s="1"/>
  <c r="AG114" i="8"/>
  <c r="AG116"/>
  <c r="W116" i="5"/>
  <c r="AS116" s="1"/>
  <c r="W119"/>
  <c r="AS123"/>
  <c r="AE113" i="6"/>
  <c r="AE119"/>
  <c r="AE120"/>
  <c r="AE124"/>
  <c r="AG121" i="8"/>
  <c r="AG128"/>
  <c r="BC129" i="7" s="1"/>
  <c r="BG129" s="1"/>
  <c r="BI129" s="1"/>
  <c r="AG130" i="8"/>
  <c r="AE112" i="9"/>
  <c r="Y117" i="2"/>
  <c r="AX117" s="1"/>
  <c r="BR117" i="11" s="1"/>
  <c r="Y122" i="2"/>
  <c r="Y125"/>
  <c r="W117" i="5"/>
  <c r="W122"/>
  <c r="AS122" s="1"/>
  <c r="BO122" i="4" s="1"/>
  <c r="BU122" s="1"/>
  <c r="BW122" s="1"/>
  <c r="W124" i="5"/>
  <c r="AS124" s="1"/>
  <c r="BO124" i="4" s="1"/>
  <c r="BU124" s="1"/>
  <c r="BW124" s="1"/>
  <c r="AG112" i="8"/>
  <c r="BC113" i="7" s="1"/>
  <c r="BG113" s="1"/>
  <c r="BI113" s="1"/>
  <c r="AE129" i="9"/>
  <c r="AE127"/>
  <c r="AE115" i="6"/>
  <c r="AE121" i="1"/>
  <c r="BO116" i="4"/>
  <c r="BU116" s="1"/>
  <c r="BW116" s="1"/>
  <c r="AE125" i="6"/>
  <c r="AE112"/>
  <c r="AS121" i="5"/>
  <c r="BO121" i="4" s="1"/>
  <c r="BU121" s="1"/>
  <c r="BW121" s="1"/>
  <c r="BO123"/>
  <c r="BU123" s="1"/>
  <c r="BW123" s="1"/>
  <c r="AE129" i="6"/>
  <c r="AE130"/>
  <c r="AE114"/>
  <c r="AE116"/>
  <c r="AE117"/>
  <c r="AE118"/>
  <c r="AE121"/>
  <c r="AE122"/>
  <c r="AE123"/>
  <c r="AE127"/>
  <c r="AG118" i="8"/>
  <c r="AG120"/>
  <c r="AG122"/>
  <c r="AG124"/>
  <c r="AG126"/>
  <c r="AE123" i="9"/>
  <c r="AE124"/>
  <c r="AE125"/>
  <c r="AG129" i="8"/>
  <c r="BC130" i="7" s="1"/>
  <c r="BG130" s="1"/>
  <c r="BI130" s="1"/>
  <c r="AG127" i="8"/>
  <c r="BC128" i="7" s="1"/>
  <c r="BG128" s="1"/>
  <c r="BI128" s="1"/>
  <c r="AG125" i="8"/>
  <c r="AG123"/>
  <c r="AG119"/>
  <c r="BC120" i="7" s="1"/>
  <c r="BG120" s="1"/>
  <c r="BI120" s="1"/>
  <c r="AG117" i="8"/>
  <c r="AG115"/>
  <c r="BC116" i="7" s="1"/>
  <c r="BG116" s="1"/>
  <c r="BI116" s="1"/>
  <c r="BC115"/>
  <c r="BG115" s="1"/>
  <c r="BI115" s="1"/>
  <c r="AG113" i="8"/>
  <c r="BC114" i="7" s="1"/>
  <c r="BG114" s="1"/>
  <c r="BI114" s="1"/>
  <c r="AG108" i="8"/>
  <c r="AE109" i="6"/>
  <c r="AE114" i="9"/>
  <c r="AE115"/>
  <c r="AE116"/>
  <c r="AE117"/>
  <c r="AE118"/>
  <c r="AE119"/>
  <c r="AE120"/>
  <c r="AE121"/>
  <c r="AE122"/>
  <c r="AG111" i="8"/>
  <c r="AE110" i="6"/>
  <c r="AG110" i="8"/>
  <c r="AE109" i="1"/>
  <c r="AS109" i="5"/>
  <c r="BO109" i="4" s="1"/>
  <c r="BU109" s="1"/>
  <c r="BW109" s="1"/>
  <c r="AG109" i="8"/>
  <c r="BC110" i="7" s="1"/>
  <c r="BG110" s="1"/>
  <c r="BI110" s="1"/>
  <c r="AX108" i="2"/>
  <c r="BR109" i="11"/>
  <c r="BX109" s="1"/>
  <c r="BZ109" s="1"/>
  <c r="AE108" i="6"/>
  <c r="AS115" i="5"/>
  <c r="BO115" i="4" s="1"/>
  <c r="BU115" s="1"/>
  <c r="BW115" s="1"/>
  <c r="AS128" i="5"/>
  <c r="BO128" i="4" s="1"/>
  <c r="BU128" s="1"/>
  <c r="BW128" s="1"/>
  <c r="AS120" i="5"/>
  <c r="BO120" i="4" s="1"/>
  <c r="BU120" s="1"/>
  <c r="BW120" s="1"/>
  <c r="AE114" i="1"/>
  <c r="AE115"/>
  <c r="AE116"/>
  <c r="AE122"/>
  <c r="AC122"/>
  <c r="AE123"/>
  <c r="AC123"/>
  <c r="AE124"/>
  <c r="AC124"/>
  <c r="AE125"/>
  <c r="AC125"/>
  <c r="AE129"/>
  <c r="AE112"/>
  <c r="AE119"/>
  <c r="AC119"/>
  <c r="AE120"/>
  <c r="AE127"/>
  <c r="AE130"/>
  <c r="BZ128" i="11"/>
  <c r="BR124"/>
  <c r="BX124" s="1"/>
  <c r="BZ124" s="1"/>
  <c r="AX115" i="2"/>
  <c r="BR115" i="11" s="1"/>
  <c r="AX120" i="2"/>
  <c r="BR120" i="11" s="1"/>
  <c r="AX127" i="2"/>
  <c r="BR127" i="11" s="1"/>
  <c r="BX127" s="1"/>
  <c r="BZ127" s="1"/>
  <c r="BX120"/>
  <c r="BZ120" s="1"/>
  <c r="AX118" i="2"/>
  <c r="BR118" i="11" s="1"/>
  <c r="BX118" s="1"/>
  <c r="BZ118" s="1"/>
  <c r="BX115"/>
  <c r="BZ115" s="1"/>
  <c r="BX117"/>
  <c r="BZ117" s="1"/>
  <c r="BX121"/>
  <c r="BZ121" s="1"/>
  <c r="AS114" i="5"/>
  <c r="BO114" i="4" s="1"/>
  <c r="BU114" s="1"/>
  <c r="BW114" s="1"/>
  <c r="AS118" i="5"/>
  <c r="BO118" i="4" s="1"/>
  <c r="BU118" s="1"/>
  <c r="BW118" s="1"/>
  <c r="AS127" i="5"/>
  <c r="BO127" i="4" s="1"/>
  <c r="BU127" s="1"/>
  <c r="BW127" s="1"/>
  <c r="BC131" i="7"/>
  <c r="BG131" s="1"/>
  <c r="BI131" s="1"/>
  <c r="BC127"/>
  <c r="BG127" s="1"/>
  <c r="BI127" s="1"/>
  <c r="BC125"/>
  <c r="BG125" s="1"/>
  <c r="BI125" s="1"/>
  <c r="BC123"/>
  <c r="BG123" s="1"/>
  <c r="BI123" s="1"/>
  <c r="BC121"/>
  <c r="BG121" s="1"/>
  <c r="BI121" s="1"/>
  <c r="BC119"/>
  <c r="BG119" s="1"/>
  <c r="BI119" s="1"/>
  <c r="BC117"/>
  <c r="BG117" s="1"/>
  <c r="BI117" s="1"/>
  <c r="BC126"/>
  <c r="BG126" s="1"/>
  <c r="BI126" s="1"/>
  <c r="BC124"/>
  <c r="BG124" s="1"/>
  <c r="BI124" s="1"/>
  <c r="BC122"/>
  <c r="BG122" s="1"/>
  <c r="BI122" s="1"/>
  <c r="BC118"/>
  <c r="BG118" s="1"/>
  <c r="BI118" s="1"/>
  <c r="AX112" i="2"/>
  <c r="BR112" i="11" s="1"/>
  <c r="BX112" s="1"/>
  <c r="BZ112" s="1"/>
  <c r="AX113" i="2"/>
  <c r="BR113" i="11" s="1"/>
  <c r="BX113" s="1"/>
  <c r="BZ113" s="1"/>
  <c r="AX114" i="2"/>
  <c r="BR114" i="11" s="1"/>
  <c r="BX114" s="1"/>
  <c r="BZ114" s="1"/>
  <c r="AX122" i="2"/>
  <c r="BR122" i="11" s="1"/>
  <c r="BX122" s="1"/>
  <c r="BZ122" s="1"/>
  <c r="AX123" i="2"/>
  <c r="BR123" i="11" s="1"/>
  <c r="BX123" s="1"/>
  <c r="BZ123" s="1"/>
  <c r="AX125" i="2"/>
  <c r="BR125" i="11" s="1"/>
  <c r="BX125" s="1"/>
  <c r="BZ125" s="1"/>
  <c r="AX129" i="2"/>
  <c r="BR129" i="11" s="1"/>
  <c r="BX129" s="1"/>
  <c r="BZ129" s="1"/>
  <c r="AX130" i="2"/>
  <c r="BR130" i="11" s="1"/>
  <c r="BX130" s="1"/>
  <c r="BZ130" s="1"/>
  <c r="AX116" i="2"/>
  <c r="BR116" i="11" s="1"/>
  <c r="BX116" s="1"/>
  <c r="BZ116" s="1"/>
  <c r="AS112" i="5"/>
  <c r="BO112" i="4" s="1"/>
  <c r="BU112" s="1"/>
  <c r="BW112" s="1"/>
  <c r="AS113" i="5"/>
  <c r="BO113" i="4" s="1"/>
  <c r="BU113" s="1"/>
  <c r="BW113" s="1"/>
  <c r="AS117" i="5"/>
  <c r="BO117" i="4" s="1"/>
  <c r="BU117" s="1"/>
  <c r="BW117" s="1"/>
  <c r="AS125" i="5"/>
  <c r="BO125" i="4" s="1"/>
  <c r="BU125" s="1"/>
  <c r="BW125" s="1"/>
  <c r="AS129" i="5"/>
  <c r="BO129" i="4" s="1"/>
  <c r="BU129" s="1"/>
  <c r="BW129" s="1"/>
  <c r="AS130" i="5"/>
  <c r="BO130" i="4" s="1"/>
  <c r="BU130" s="1"/>
  <c r="BW130" s="1"/>
  <c r="AS119" i="5"/>
  <c r="BO119" i="4" s="1"/>
  <c r="BU119" s="1"/>
  <c r="BW119" s="1"/>
  <c r="BZ119" i="11" l="1"/>
  <c r="W108" i="10"/>
  <c r="S108"/>
  <c r="BP108" i="11"/>
  <c r="O108" i="1"/>
  <c r="K108"/>
  <c r="AZ108" i="4"/>
  <c r="BM108" s="1"/>
  <c r="AQ108" i="5"/>
  <c r="AC108" i="9"/>
  <c r="W108"/>
  <c r="M108"/>
  <c r="G108"/>
  <c r="AE108" i="1" l="1"/>
  <c r="AE108" i="9"/>
  <c r="AS108" i="5"/>
  <c r="BO108" i="4" s="1"/>
  <c r="BU108" s="1"/>
  <c r="BW108" s="1"/>
  <c r="BC109" i="7"/>
  <c r="BG109" s="1"/>
  <c r="BI109" s="1"/>
  <c r="BR108" i="11"/>
  <c r="BX108" s="1"/>
  <c r="BZ108" s="1"/>
  <c r="G69" i="9" l="1"/>
  <c r="G70"/>
  <c r="O69" i="1" l="1"/>
  <c r="O70"/>
  <c r="O71"/>
  <c r="O72"/>
  <c r="O73"/>
  <c r="O74"/>
  <c r="O75"/>
  <c r="O76"/>
  <c r="O77"/>
  <c r="O78"/>
  <c r="O79"/>
  <c r="O80"/>
  <c r="O81"/>
  <c r="O83"/>
  <c r="O84"/>
  <c r="O85"/>
  <c r="O86"/>
  <c r="O87"/>
  <c r="O88"/>
  <c r="O89"/>
  <c r="O90"/>
  <c r="O91"/>
  <c r="O92"/>
  <c r="O93"/>
  <c r="O94"/>
  <c r="O95"/>
  <c r="O96"/>
  <c r="O97"/>
  <c r="O98"/>
  <c r="O99"/>
  <c r="O110"/>
  <c r="O111"/>
  <c r="K111" l="1"/>
  <c r="AC76" i="9"/>
  <c r="AC79" i="6"/>
  <c r="O79"/>
  <c r="K79"/>
  <c r="AZ69" i="4"/>
  <c r="BM69" s="1"/>
  <c r="AZ111"/>
  <c r="BM111" s="1"/>
  <c r="AZ110"/>
  <c r="BM110" s="1"/>
  <c r="AZ99"/>
  <c r="BM99" s="1"/>
  <c r="AZ98"/>
  <c r="BM98" s="1"/>
  <c r="AZ97"/>
  <c r="BM97" s="1"/>
  <c r="AZ96"/>
  <c r="BM96" s="1"/>
  <c r="AZ95"/>
  <c r="BM95" s="1"/>
  <c r="AZ94"/>
  <c r="BM94" s="1"/>
  <c r="AZ93"/>
  <c r="BM93" s="1"/>
  <c r="AZ92"/>
  <c r="BM92" s="1"/>
  <c r="AZ91"/>
  <c r="BM91" s="1"/>
  <c r="AZ90"/>
  <c r="BM90" s="1"/>
  <c r="AZ89"/>
  <c r="BM89" s="1"/>
  <c r="AZ88"/>
  <c r="BM88" s="1"/>
  <c r="AZ87"/>
  <c r="BM87" s="1"/>
  <c r="AZ86"/>
  <c r="BM86" s="1"/>
  <c r="AZ85"/>
  <c r="BM85" s="1"/>
  <c r="AZ84"/>
  <c r="BM84" s="1"/>
  <c r="AZ83"/>
  <c r="BM83" s="1"/>
  <c r="AZ81"/>
  <c r="BM81" s="1"/>
  <c r="AZ80"/>
  <c r="BM80" s="1"/>
  <c r="AZ79"/>
  <c r="BM79" s="1"/>
  <c r="AZ78"/>
  <c r="BM78" s="1"/>
  <c r="AZ77"/>
  <c r="BM77" s="1"/>
  <c r="AZ76"/>
  <c r="BM76" s="1"/>
  <c r="AZ75"/>
  <c r="BM75" s="1"/>
  <c r="AZ74"/>
  <c r="BM74" s="1"/>
  <c r="AZ73"/>
  <c r="BM73" s="1"/>
  <c r="AZ71"/>
  <c r="BM71" s="1"/>
  <c r="AC72" i="8"/>
  <c r="AC69"/>
  <c r="AC70"/>
  <c r="AC71"/>
  <c r="AC99"/>
  <c r="AC98"/>
  <c r="AC97"/>
  <c r="AC96"/>
  <c r="AC95"/>
  <c r="AC94"/>
  <c r="AC93"/>
  <c r="AC92"/>
  <c r="AC91"/>
  <c r="AC90"/>
  <c r="AC89"/>
  <c r="AC88"/>
  <c r="AC87"/>
  <c r="AC86"/>
  <c r="AC83"/>
  <c r="AC81"/>
  <c r="AC80"/>
  <c r="AC79"/>
  <c r="AC78"/>
  <c r="AC77"/>
  <c r="AC76"/>
  <c r="AC75"/>
  <c r="AC74"/>
  <c r="AC73"/>
  <c r="AZ136" i="4"/>
  <c r="AZ72"/>
  <c r="BM72" s="1"/>
  <c r="AZ70"/>
  <c r="BM70" s="1"/>
  <c r="AQ84" i="5"/>
  <c r="W84"/>
  <c r="BA85" i="7"/>
  <c r="BA86"/>
  <c r="M85" i="8"/>
  <c r="O81" i="6"/>
  <c r="AC85"/>
  <c r="W85" i="5"/>
  <c r="AQ85"/>
  <c r="AC83" i="6"/>
  <c r="W83" i="5"/>
  <c r="AQ83"/>
  <c r="AC81" i="6"/>
  <c r="W81" i="5"/>
  <c r="AQ81"/>
  <c r="AC80" i="6"/>
  <c r="AQ80" i="5"/>
  <c r="W80"/>
  <c r="K80" i="6"/>
  <c r="O80"/>
  <c r="W96" i="10"/>
  <c r="S96"/>
  <c r="BC96" i="11"/>
  <c r="BP96" s="1"/>
  <c r="AV96" i="2"/>
  <c r="Y96"/>
  <c r="Y97"/>
  <c r="AQ96" i="5"/>
  <c r="W96"/>
  <c r="K96" i="1"/>
  <c r="AE96" s="1"/>
  <c r="AC96"/>
  <c r="K96" i="6"/>
  <c r="O96"/>
  <c r="AC96"/>
  <c r="BA97" i="7"/>
  <c r="M96" i="8"/>
  <c r="G96" i="9"/>
  <c r="M96"/>
  <c r="W96"/>
  <c r="AC96"/>
  <c r="BC97" i="11"/>
  <c r="BP97" s="1"/>
  <c r="BC95"/>
  <c r="BP95" s="1"/>
  <c r="AQ97" i="5"/>
  <c r="W97"/>
  <c r="BA96" i="7"/>
  <c r="BA98"/>
  <c r="M97" i="8"/>
  <c r="M95" i="9"/>
  <c r="AQ94" i="5"/>
  <c r="W94"/>
  <c r="AC94" i="6"/>
  <c r="AV95" i="2"/>
  <c r="Y95"/>
  <c r="AC95" i="1"/>
  <c r="BA94" i="7"/>
  <c r="W105" i="10"/>
  <c r="AC105" i="9"/>
  <c r="BC90" i="11"/>
  <c r="BP90" s="1"/>
  <c r="BC89"/>
  <c r="BP89" s="1"/>
  <c r="BC88"/>
  <c r="BP88" s="1"/>
  <c r="AV88" i="2"/>
  <c r="Y88"/>
  <c r="W93" i="5"/>
  <c r="AQ93"/>
  <c r="AC93" i="6"/>
  <c r="AC92"/>
  <c r="W92" i="5"/>
  <c r="AQ92"/>
  <c r="AC91" i="6"/>
  <c r="W91" i="5"/>
  <c r="AQ91"/>
  <c r="AC90" i="6"/>
  <c r="W90" i="5"/>
  <c r="AQ90"/>
  <c r="AC89" i="6"/>
  <c r="W89" i="5"/>
  <c r="AQ89"/>
  <c r="AQ88"/>
  <c r="W88"/>
  <c r="BC87" i="11"/>
  <c r="BP87" s="1"/>
  <c r="AQ87" i="5"/>
  <c r="W87"/>
  <c r="AQ86"/>
  <c r="W86"/>
  <c r="W72" i="9"/>
  <c r="W72" i="10"/>
  <c r="S72"/>
  <c r="BC72" i="11"/>
  <c r="BP72" s="1"/>
  <c r="Y72" i="2"/>
  <c r="AV72"/>
  <c r="AC72" i="1"/>
  <c r="K72"/>
  <c r="AE72" s="1"/>
  <c r="W72" i="5"/>
  <c r="AQ72"/>
  <c r="AC72" i="6"/>
  <c r="K72"/>
  <c r="O72"/>
  <c r="BA73" i="7"/>
  <c r="M72" i="8"/>
  <c r="G72" i="9"/>
  <c r="M72"/>
  <c r="AC72"/>
  <c r="K71" i="1"/>
  <c r="AE71" s="1"/>
  <c r="W70" i="10"/>
  <c r="BC70" i="11"/>
  <c r="BP70" s="1"/>
  <c r="AV70" i="2"/>
  <c r="AC70" i="1"/>
  <c r="K70"/>
  <c r="AQ70" i="5"/>
  <c r="AC70" i="6"/>
  <c r="K70"/>
  <c r="O70"/>
  <c r="BA71" i="7"/>
  <c r="M70" i="8"/>
  <c r="M70" i="9"/>
  <c r="AC70"/>
  <c r="AQ111" i="5"/>
  <c r="W111"/>
  <c r="W111" i="9"/>
  <c r="W110" i="5"/>
  <c r="AS110" s="1"/>
  <c r="G111" i="9"/>
  <c r="M111"/>
  <c r="G110"/>
  <c r="M110"/>
  <c r="W110"/>
  <c r="AC110"/>
  <c r="BC79" i="11"/>
  <c r="BP79" s="1"/>
  <c r="AV79" i="2"/>
  <c r="Y79"/>
  <c r="AV78"/>
  <c r="Y78"/>
  <c r="AQ78" i="5"/>
  <c r="W78"/>
  <c r="AC78" i="6"/>
  <c r="K78"/>
  <c r="W76" i="9"/>
  <c r="AC99" i="6"/>
  <c r="AQ99" i="5"/>
  <c r="W99"/>
  <c r="AC98" i="6"/>
  <c r="AQ98" i="5"/>
  <c r="W98"/>
  <c r="AC97" i="6"/>
  <c r="AC95"/>
  <c r="AQ95" i="5"/>
  <c r="W95"/>
  <c r="M95" i="8"/>
  <c r="W107" i="10"/>
  <c r="W106"/>
  <c r="W104"/>
  <c r="W103"/>
  <c r="W102"/>
  <c r="W101"/>
  <c r="W100"/>
  <c r="W99"/>
  <c r="S99"/>
  <c r="W98"/>
  <c r="S98"/>
  <c r="W97"/>
  <c r="S97"/>
  <c r="W95"/>
  <c r="S95"/>
  <c r="W94"/>
  <c r="S94"/>
  <c r="W93"/>
  <c r="S93"/>
  <c r="W92"/>
  <c r="S92"/>
  <c r="W91"/>
  <c r="S91"/>
  <c r="W90"/>
  <c r="S90"/>
  <c r="W89"/>
  <c r="S89"/>
  <c r="W88"/>
  <c r="S88"/>
  <c r="W87"/>
  <c r="S87"/>
  <c r="W86"/>
  <c r="S86"/>
  <c r="W85"/>
  <c r="S85"/>
  <c r="W84"/>
  <c r="S84"/>
  <c r="W83"/>
  <c r="S83"/>
  <c r="W81"/>
  <c r="S81"/>
  <c r="W80"/>
  <c r="S80"/>
  <c r="W79"/>
  <c r="S79"/>
  <c r="W78"/>
  <c r="S78"/>
  <c r="W77"/>
  <c r="S77"/>
  <c r="W76"/>
  <c r="S76"/>
  <c r="W75"/>
  <c r="S75"/>
  <c r="W74"/>
  <c r="S74"/>
  <c r="BC111" i="11"/>
  <c r="BP111" s="1"/>
  <c r="AV111" i="2"/>
  <c r="Y111"/>
  <c r="AC111" i="1"/>
  <c r="BC110" i="11"/>
  <c r="BP110" s="1"/>
  <c r="AV110" i="2"/>
  <c r="Y110"/>
  <c r="AC110" i="1"/>
  <c r="BC99" i="11"/>
  <c r="BP99" s="1"/>
  <c r="AV99" i="2"/>
  <c r="Y99"/>
  <c r="AC99" i="1"/>
  <c r="BC98" i="11"/>
  <c r="BP98" s="1"/>
  <c r="AV98" i="2"/>
  <c r="Y98"/>
  <c r="AC98" i="1"/>
  <c r="AV97" i="2"/>
  <c r="AX97" s="1"/>
  <c r="AC97" i="1"/>
  <c r="BC94" i="11"/>
  <c r="BP94" s="1"/>
  <c r="AV94" i="2"/>
  <c r="Y94"/>
  <c r="AC94" i="1"/>
  <c r="BC93" i="11"/>
  <c r="BP93" s="1"/>
  <c r="AV93" i="2"/>
  <c r="Y93"/>
  <c r="AC93" i="1"/>
  <c r="BC92" i="11"/>
  <c r="BP92" s="1"/>
  <c r="AV92" i="2"/>
  <c r="Y92"/>
  <c r="AC92" i="1"/>
  <c r="BC91" i="11"/>
  <c r="BP91" s="1"/>
  <c r="AV91" i="2"/>
  <c r="Y91"/>
  <c r="AC91" i="1"/>
  <c r="AV90" i="2"/>
  <c r="Y90"/>
  <c r="AC90" i="1"/>
  <c r="AV89" i="2"/>
  <c r="Y89"/>
  <c r="AC89" i="1"/>
  <c r="AC88"/>
  <c r="AV87" i="2"/>
  <c r="Y87"/>
  <c r="AC87" i="1"/>
  <c r="BC86" i="11"/>
  <c r="BP86" s="1"/>
  <c r="AV86" i="2"/>
  <c r="Y86"/>
  <c r="AC86" i="1"/>
  <c r="BC85" i="11"/>
  <c r="BP85" s="1"/>
  <c r="AV85" i="2"/>
  <c r="Y85"/>
  <c r="AC85" i="1"/>
  <c r="BC84" i="11"/>
  <c r="BP84" s="1"/>
  <c r="AV84" i="2"/>
  <c r="Y84"/>
  <c r="AX84" s="1"/>
  <c r="AC84" i="1"/>
  <c r="BC83" i="11"/>
  <c r="BP83" s="1"/>
  <c r="AV83" i="2"/>
  <c r="Y83"/>
  <c r="AX83" s="1"/>
  <c r="AC83" i="1"/>
  <c r="BC81" i="11"/>
  <c r="BP81" s="1"/>
  <c r="AV81" i="2"/>
  <c r="Y81"/>
  <c r="AC81" i="1"/>
  <c r="BC80" i="11"/>
  <c r="BP80" s="1"/>
  <c r="AV80" i="2"/>
  <c r="Y80"/>
  <c r="AC80" i="1"/>
  <c r="AC79"/>
  <c r="BC78" i="11"/>
  <c r="BP78" s="1"/>
  <c r="AC78" i="1"/>
  <c r="BC77" i="11"/>
  <c r="BP77" s="1"/>
  <c r="AV77" i="2"/>
  <c r="Y77"/>
  <c r="AC77" i="1"/>
  <c r="BC76" i="11"/>
  <c r="BP76" s="1"/>
  <c r="AV76" i="2"/>
  <c r="AX76" s="1"/>
  <c r="Y76"/>
  <c r="AC76" i="1"/>
  <c r="BC75" i="11"/>
  <c r="BP75" s="1"/>
  <c r="Y75" i="2"/>
  <c r="AV75"/>
  <c r="AC75" i="1"/>
  <c r="BC74" i="11"/>
  <c r="BP74" s="1"/>
  <c r="AV74" i="2"/>
  <c r="Y74"/>
  <c r="AC74" i="1"/>
  <c r="K110"/>
  <c r="AE110" s="1"/>
  <c r="AE107"/>
  <c r="AE106"/>
  <c r="AE101"/>
  <c r="K99"/>
  <c r="AE99" s="1"/>
  <c r="K98"/>
  <c r="K97"/>
  <c r="AE97" s="1"/>
  <c r="K95"/>
  <c r="K94"/>
  <c r="K93"/>
  <c r="K92"/>
  <c r="AE92" s="1"/>
  <c r="K91"/>
  <c r="AE91" s="1"/>
  <c r="K90"/>
  <c r="AE90" s="1"/>
  <c r="K89"/>
  <c r="K88"/>
  <c r="AE88" s="1"/>
  <c r="K87"/>
  <c r="K86"/>
  <c r="K85"/>
  <c r="K84"/>
  <c r="AE84" s="1"/>
  <c r="K83"/>
  <c r="AE83" s="1"/>
  <c r="K81"/>
  <c r="AE81" s="1"/>
  <c r="K80"/>
  <c r="K79"/>
  <c r="AE79" s="1"/>
  <c r="K78"/>
  <c r="K77"/>
  <c r="K76"/>
  <c r="K75"/>
  <c r="AE75" s="1"/>
  <c r="K74"/>
  <c r="AC111" i="6"/>
  <c r="AC88"/>
  <c r="AC87"/>
  <c r="AC86"/>
  <c r="AC84"/>
  <c r="AQ79" i="5"/>
  <c r="W79"/>
  <c r="AQ77"/>
  <c r="W77"/>
  <c r="AC77" i="6"/>
  <c r="AQ76" i="5"/>
  <c r="W76"/>
  <c r="AC76" i="6"/>
  <c r="W75" i="5"/>
  <c r="AQ75"/>
  <c r="AC75" i="6"/>
  <c r="AQ74" i="5"/>
  <c r="W74"/>
  <c r="AC74" i="6"/>
  <c r="O111"/>
  <c r="AE111" s="1"/>
  <c r="K99"/>
  <c r="O99"/>
  <c r="K98"/>
  <c r="O98"/>
  <c r="K97"/>
  <c r="O97"/>
  <c r="K95"/>
  <c r="O95"/>
  <c r="K94"/>
  <c r="O94"/>
  <c r="K93"/>
  <c r="O93"/>
  <c r="K92"/>
  <c r="O92"/>
  <c r="K91"/>
  <c r="O91"/>
  <c r="K90"/>
  <c r="O90"/>
  <c r="K89"/>
  <c r="O89"/>
  <c r="K88"/>
  <c r="O88"/>
  <c r="K87"/>
  <c r="O87"/>
  <c r="K86"/>
  <c r="O86"/>
  <c r="K85"/>
  <c r="O85"/>
  <c r="K84"/>
  <c r="O84"/>
  <c r="K83"/>
  <c r="O83"/>
  <c r="K81"/>
  <c r="AE81" s="1"/>
  <c r="O78"/>
  <c r="AE78" s="1"/>
  <c r="K77"/>
  <c r="O77"/>
  <c r="K76"/>
  <c r="O76"/>
  <c r="K75"/>
  <c r="O75"/>
  <c r="K74"/>
  <c r="O74"/>
  <c r="BA100" i="7"/>
  <c r="BA99"/>
  <c r="M98" i="8"/>
  <c r="AG98" s="1"/>
  <c r="BA95" i="7"/>
  <c r="M94" i="8"/>
  <c r="AG94" s="1"/>
  <c r="M93"/>
  <c r="AG93" s="1"/>
  <c r="BA93" i="7"/>
  <c r="M92" i="8"/>
  <c r="AG92" s="1"/>
  <c r="BA92" i="7"/>
  <c r="M91" i="8"/>
  <c r="AG91" s="1"/>
  <c r="BA91" i="7"/>
  <c r="M90" i="8"/>
  <c r="BA90" i="7"/>
  <c r="M89" i="8"/>
  <c r="AG89" s="1"/>
  <c r="BA89" i="7"/>
  <c r="M88" i="8"/>
  <c r="BA88" i="7"/>
  <c r="M87" i="8"/>
  <c r="BA87" i="7"/>
  <c r="M86" i="8"/>
  <c r="M84"/>
  <c r="AG84" s="1"/>
  <c r="BA84" i="7"/>
  <c r="M83" i="8"/>
  <c r="BA82" i="7"/>
  <c r="M81" i="8"/>
  <c r="AG81" s="1"/>
  <c r="BA81" i="7"/>
  <c r="M80" i="8"/>
  <c r="BA80" i="7"/>
  <c r="M79" i="8"/>
  <c r="BA79" i="7"/>
  <c r="M78" i="8"/>
  <c r="AG78" s="1"/>
  <c r="M77"/>
  <c r="BA77" i="7"/>
  <c r="M76" i="8"/>
  <c r="BA76" i="7"/>
  <c r="M75" i="8"/>
  <c r="BA75" i="7"/>
  <c r="M74" i="8"/>
  <c r="BA74" i="7"/>
  <c r="M73" i="8"/>
  <c r="AG73" s="1"/>
  <c r="M71"/>
  <c r="AG71" s="1"/>
  <c r="M69"/>
  <c r="W99" i="9"/>
  <c r="M99"/>
  <c r="G99"/>
  <c r="W98"/>
  <c r="M98"/>
  <c r="G98"/>
  <c r="W97"/>
  <c r="M97"/>
  <c r="G97"/>
  <c r="W95"/>
  <c r="G95"/>
  <c r="W94"/>
  <c r="M94"/>
  <c r="G94"/>
  <c r="W93"/>
  <c r="M93"/>
  <c r="G93"/>
  <c r="W92"/>
  <c r="M92"/>
  <c r="G92"/>
  <c r="W91"/>
  <c r="M91"/>
  <c r="G91"/>
  <c r="W90"/>
  <c r="M90"/>
  <c r="G90"/>
  <c r="W89"/>
  <c r="M89"/>
  <c r="G89"/>
  <c r="W88"/>
  <c r="M88"/>
  <c r="G88"/>
  <c r="W87"/>
  <c r="M87"/>
  <c r="G87"/>
  <c r="W86"/>
  <c r="M86"/>
  <c r="G86"/>
  <c r="W85"/>
  <c r="M85"/>
  <c r="G85"/>
  <c r="W84"/>
  <c r="M84"/>
  <c r="G84"/>
  <c r="W83"/>
  <c r="M83"/>
  <c r="G83"/>
  <c r="W81"/>
  <c r="M81"/>
  <c r="G81"/>
  <c r="W80"/>
  <c r="M80"/>
  <c r="G80"/>
  <c r="W79"/>
  <c r="M79"/>
  <c r="G79"/>
  <c r="W78"/>
  <c r="M78"/>
  <c r="G78"/>
  <c r="W77"/>
  <c r="M77"/>
  <c r="G77"/>
  <c r="M76"/>
  <c r="G76"/>
  <c r="W75"/>
  <c r="M75"/>
  <c r="G75"/>
  <c r="W74"/>
  <c r="M74"/>
  <c r="G74"/>
  <c r="W73"/>
  <c r="M73"/>
  <c r="G73"/>
  <c r="W71"/>
  <c r="M71"/>
  <c r="G71"/>
  <c r="W69"/>
  <c r="M69"/>
  <c r="AC86"/>
  <c r="AC73" i="1"/>
  <c r="K73"/>
  <c r="AE73" s="1"/>
  <c r="AC102" i="9"/>
  <c r="BC69" i="11"/>
  <c r="BP69" s="1"/>
  <c r="BC71"/>
  <c r="BP71" s="1"/>
  <c r="BC73"/>
  <c r="BP73" s="1"/>
  <c r="K69" i="1"/>
  <c r="AE69" s="1"/>
  <c r="AC103" i="9"/>
  <c r="AC94"/>
  <c r="AC84"/>
  <c r="W73" i="5"/>
  <c r="AQ73"/>
  <c r="K73" i="6"/>
  <c r="O73"/>
  <c r="K71"/>
  <c r="O71"/>
  <c r="K69"/>
  <c r="O69"/>
  <c r="AC73"/>
  <c r="AC71"/>
  <c r="AC69"/>
  <c r="W73" i="10"/>
  <c r="S73"/>
  <c r="W71"/>
  <c r="S71"/>
  <c r="W69"/>
  <c r="S69"/>
  <c r="AV73" i="2"/>
  <c r="Y73"/>
  <c r="Y71"/>
  <c r="AV71"/>
  <c r="AC71" i="1"/>
  <c r="AV69" i="2"/>
  <c r="AC69" i="1"/>
  <c r="W71" i="5"/>
  <c r="AQ71"/>
  <c r="AQ69"/>
  <c r="BA72" i="7"/>
  <c r="BA70"/>
  <c r="AC107" i="9"/>
  <c r="AC106"/>
  <c r="AC111"/>
  <c r="AC104"/>
  <c r="AC101"/>
  <c r="AC100"/>
  <c r="AC99"/>
  <c r="AC98"/>
  <c r="AC97"/>
  <c r="AC95"/>
  <c r="AC93"/>
  <c r="AC92"/>
  <c r="AC91"/>
  <c r="AC90"/>
  <c r="AC89"/>
  <c r="AC88"/>
  <c r="AC87"/>
  <c r="AC85"/>
  <c r="AC83"/>
  <c r="AC81"/>
  <c r="AC80"/>
  <c r="AC79"/>
  <c r="AC78"/>
  <c r="AC77"/>
  <c r="AC75"/>
  <c r="AC74"/>
  <c r="AC73"/>
  <c r="AC71"/>
  <c r="AC69"/>
  <c r="AX74" i="2"/>
  <c r="AX88"/>
  <c r="AX86"/>
  <c r="AX92"/>
  <c r="AX72"/>
  <c r="AX70"/>
  <c r="BR70" i="11" s="1"/>
  <c r="AX95" i="2"/>
  <c r="AX85"/>
  <c r="AX87"/>
  <c r="AE77" i="1"/>
  <c r="AE78"/>
  <c r="AE86"/>
  <c r="AE87"/>
  <c r="AE94"/>
  <c r="AE95"/>
  <c r="AE103"/>
  <c r="AE104"/>
  <c r="AE105"/>
  <c r="AE70"/>
  <c r="AE76"/>
  <c r="AE80"/>
  <c r="AE85"/>
  <c r="AE89"/>
  <c r="AE93"/>
  <c r="AE98"/>
  <c r="AE102"/>
  <c r="AS75" i="5"/>
  <c r="AS93"/>
  <c r="AS85"/>
  <c r="AS72"/>
  <c r="AE106" i="6"/>
  <c r="AE70"/>
  <c r="AE99"/>
  <c r="AE105" i="9"/>
  <c r="AE72"/>
  <c r="AE96"/>
  <c r="AE70"/>
  <c r="BI103" i="7"/>
  <c r="BI107"/>
  <c r="AG96" i="8"/>
  <c r="AG87"/>
  <c r="AG99"/>
  <c r="BI105" i="7"/>
  <c r="AG97" i="8"/>
  <c r="BC111" i="7"/>
  <c r="AG80" i="8"/>
  <c r="BC81" i="7" s="1"/>
  <c r="BG81" s="1"/>
  <c r="BI81" s="1"/>
  <c r="AG88" i="8"/>
  <c r="AG79"/>
  <c r="AG86"/>
  <c r="AG95"/>
  <c r="BC96" i="7" s="1"/>
  <c r="BG96" s="1"/>
  <c r="BI96" s="1"/>
  <c r="AG90" i="8"/>
  <c r="AG77"/>
  <c r="BC78" i="7" s="1"/>
  <c r="BG78" s="1"/>
  <c r="BI78" s="1"/>
  <c r="AG70" i="8"/>
  <c r="BC71" i="7" s="1"/>
  <c r="BG71" s="1"/>
  <c r="BI71" s="1"/>
  <c r="AG69" i="8"/>
  <c r="AG72"/>
  <c r="AE111" i="1"/>
  <c r="AS99" i="5"/>
  <c r="AS96"/>
  <c r="AE90" i="6"/>
  <c r="AX89" i="2"/>
  <c r="AE89" i="9"/>
  <c r="AE74" i="1"/>
  <c r="AX96" i="2" l="1"/>
  <c r="BC95" i="7"/>
  <c r="BG95" s="1"/>
  <c r="BI95" s="1"/>
  <c r="AS79" i="5"/>
  <c r="AS95"/>
  <c r="BO95" i="4" s="1"/>
  <c r="BU95" s="1"/>
  <c r="BW95" s="1"/>
  <c r="AE71" i="6"/>
  <c r="AE86"/>
  <c r="AE88"/>
  <c r="AE97"/>
  <c r="AE69"/>
  <c r="BC88" i="7"/>
  <c r="BG88" s="1"/>
  <c r="BI88" s="1"/>
  <c r="AE75" i="9"/>
  <c r="AE93"/>
  <c r="AE110"/>
  <c r="AE111"/>
  <c r="AX81" i="2"/>
  <c r="AS87" i="5"/>
  <c r="BO87" i="4" s="1"/>
  <c r="BU87" s="1"/>
  <c r="BW87" s="1"/>
  <c r="BC74" i="7"/>
  <c r="BG74" s="1"/>
  <c r="BI74" s="1"/>
  <c r="AX79" i="2"/>
  <c r="BR79" i="11" s="1"/>
  <c r="AX77" i="2"/>
  <c r="AX93"/>
  <c r="BR93" i="11" s="1"/>
  <c r="BX93" s="1"/>
  <c r="BZ93" s="1"/>
  <c r="BZ107"/>
  <c r="AG75" i="8"/>
  <c r="BC76" i="7" s="1"/>
  <c r="BG76" s="1"/>
  <c r="BI76" s="1"/>
  <c r="AG74" i="8"/>
  <c r="BC75" i="7" s="1"/>
  <c r="BG75" s="1"/>
  <c r="BI75" s="1"/>
  <c r="BC87"/>
  <c r="BG87" s="1"/>
  <c r="BI87" s="1"/>
  <c r="AS74" i="5"/>
  <c r="BO74" i="4" s="1"/>
  <c r="BU74" s="1"/>
  <c r="BW74" s="1"/>
  <c r="AX111" i="2"/>
  <c r="BR111" i="11" s="1"/>
  <c r="BX111" s="1"/>
  <c r="BZ111" s="1"/>
  <c r="AX99" i="2"/>
  <c r="BO85" i="4"/>
  <c r="BU85" s="1"/>
  <c r="BW85" s="1"/>
  <c r="AE69" i="9"/>
  <c r="AE77"/>
  <c r="AE84"/>
  <c r="AE88"/>
  <c r="AE90"/>
  <c r="AE91"/>
  <c r="AE92"/>
  <c r="AE95"/>
  <c r="AE99"/>
  <c r="AE101"/>
  <c r="AE102"/>
  <c r="AE103"/>
  <c r="AE104"/>
  <c r="AE106"/>
  <c r="AE107"/>
  <c r="AE80"/>
  <c r="AE83"/>
  <c r="AE85"/>
  <c r="AE87"/>
  <c r="AX110" i="2"/>
  <c r="BR110" i="11" s="1"/>
  <c r="BX110" s="1"/>
  <c r="BZ110" s="1"/>
  <c r="BO99" i="4"/>
  <c r="BU99" s="1"/>
  <c r="BW99" s="1"/>
  <c r="BC100" i="7"/>
  <c r="BG100" s="1"/>
  <c r="BI100" s="1"/>
  <c r="BC97"/>
  <c r="BG97" s="1"/>
  <c r="BI97" s="1"/>
  <c r="AE79" i="9"/>
  <c r="AE78"/>
  <c r="AE74" i="6"/>
  <c r="AE74" i="9"/>
  <c r="AE73"/>
  <c r="AS71" i="5"/>
  <c r="BO71" i="4" s="1"/>
  <c r="BU71" s="1"/>
  <c r="BW71" s="1"/>
  <c r="BG111" i="7"/>
  <c r="BI111" s="1"/>
  <c r="AS69" i="5"/>
  <c r="BO69" i="4" s="1"/>
  <c r="BU69" s="1"/>
  <c r="BW69" s="1"/>
  <c r="AS73" i="5"/>
  <c r="BO73" i="4" s="1"/>
  <c r="BU73" s="1"/>
  <c r="BW73" s="1"/>
  <c r="AE71" i="9"/>
  <c r="AE81"/>
  <c r="AX75" i="2"/>
  <c r="BR75" i="11" s="1"/>
  <c r="BX75" s="1"/>
  <c r="BZ75" s="1"/>
  <c r="AX98" i="2"/>
  <c r="BR98" i="11" s="1"/>
  <c r="BX98" s="1"/>
  <c r="BZ98" s="1"/>
  <c r="AX73" i="2"/>
  <c r="BR73" i="11" s="1"/>
  <c r="BX73" s="1"/>
  <c r="BZ73" s="1"/>
  <c r="BO96" i="4"/>
  <c r="BU96" s="1"/>
  <c r="BW96" s="1"/>
  <c r="BO93"/>
  <c r="BU93" s="1"/>
  <c r="BW93" s="1"/>
  <c r="BO75"/>
  <c r="BU75" s="1"/>
  <c r="BW75" s="1"/>
  <c r="BW106"/>
  <c r="BC70" i="7"/>
  <c r="BG70" s="1"/>
  <c r="BI70" s="1"/>
  <c r="BC112"/>
  <c r="BI104"/>
  <c r="BC99"/>
  <c r="BG99" s="1"/>
  <c r="BI99" s="1"/>
  <c r="BI101"/>
  <c r="BO110" i="4"/>
  <c r="BU110" s="1"/>
  <c r="BW110" s="1"/>
  <c r="AG85" i="8"/>
  <c r="BC86" i="7" s="1"/>
  <c r="BG86" s="1"/>
  <c r="BI86" s="1"/>
  <c r="AG76" i="8"/>
  <c r="BC77" i="7" s="1"/>
  <c r="BG77" s="1"/>
  <c r="BI77" s="1"/>
  <c r="AG83" i="8"/>
  <c r="BC84" i="7" s="1"/>
  <c r="BG84" s="1"/>
  <c r="BI84" s="1"/>
  <c r="BW100" i="4"/>
  <c r="AS98" i="5"/>
  <c r="BO98" i="4" s="1"/>
  <c r="BU98" s="1"/>
  <c r="BW98" s="1"/>
  <c r="BC93" i="7"/>
  <c r="BG93" s="1"/>
  <c r="BI93" s="1"/>
  <c r="BI102"/>
  <c r="AE97" i="9"/>
  <c r="AE100"/>
  <c r="BR87" i="11"/>
  <c r="BX87" s="1"/>
  <c r="BZ87" s="1"/>
  <c r="BR83"/>
  <c r="BX83" s="1"/>
  <c r="BZ83" s="1"/>
  <c r="BR77"/>
  <c r="BX77" s="1"/>
  <c r="BZ77" s="1"/>
  <c r="BR74"/>
  <c r="BX74" s="1"/>
  <c r="BZ74" s="1"/>
  <c r="BR76"/>
  <c r="BX76" s="1"/>
  <c r="BZ76" s="1"/>
  <c r="BR89"/>
  <c r="BX89" s="1"/>
  <c r="BZ89" s="1"/>
  <c r="BR81"/>
  <c r="BR84"/>
  <c r="BX84" s="1"/>
  <c r="BZ84" s="1"/>
  <c r="BR85"/>
  <c r="BX85" s="1"/>
  <c r="BZ85" s="1"/>
  <c r="BR86"/>
  <c r="BX86" s="1"/>
  <c r="BZ86" s="1"/>
  <c r="BR92"/>
  <c r="BR88"/>
  <c r="BX88" s="1"/>
  <c r="BZ88" s="1"/>
  <c r="AS83" i="5"/>
  <c r="BO83" i="4" s="1"/>
  <c r="BU83" s="1"/>
  <c r="BW83" s="1"/>
  <c r="AE107" i="6"/>
  <c r="BZ106" i="11"/>
  <c r="BZ104"/>
  <c r="BZ103"/>
  <c r="BZ102"/>
  <c r="BZ105"/>
  <c r="BR99"/>
  <c r="BX99" s="1"/>
  <c r="BZ99" s="1"/>
  <c r="BR97"/>
  <c r="BX97" s="1"/>
  <c r="BZ97" s="1"/>
  <c r="BR72"/>
  <c r="BC89" i="7"/>
  <c r="BG89" s="1"/>
  <c r="BI89" s="1"/>
  <c r="BC90"/>
  <c r="BG90" s="1"/>
  <c r="BI90" s="1"/>
  <c r="BC91"/>
  <c r="BG91" s="1"/>
  <c r="BI91" s="1"/>
  <c r="BC92"/>
  <c r="BG92" s="1"/>
  <c r="BI92" s="1"/>
  <c r="BC94"/>
  <c r="BG94" s="1"/>
  <c r="BI94" s="1"/>
  <c r="BR96" i="11"/>
  <c r="BX96" s="1"/>
  <c r="BZ96" s="1"/>
  <c r="AE96" i="6"/>
  <c r="BR95" i="11"/>
  <c r="AX69" i="2"/>
  <c r="AX71"/>
  <c r="AX91"/>
  <c r="AX78"/>
  <c r="AX80"/>
  <c r="AS92" i="5"/>
  <c r="BO92" i="4" s="1"/>
  <c r="BU92" s="1"/>
  <c r="BW92" s="1"/>
  <c r="AS90" i="5"/>
  <c r="BO90" i="4" s="1"/>
  <c r="BU90" s="1"/>
  <c r="BW90" s="1"/>
  <c r="BW101"/>
  <c r="AS86" i="5"/>
  <c r="BO86" i="4" s="1"/>
  <c r="BU86" s="1"/>
  <c r="BW86" s="1"/>
  <c r="AS89" i="5"/>
  <c r="BO89" i="4" s="1"/>
  <c r="BU89" s="1"/>
  <c r="BW89" s="1"/>
  <c r="AS91" i="5"/>
  <c r="BO91" i="4" s="1"/>
  <c r="BU91" s="1"/>
  <c r="BW91" s="1"/>
  <c r="AS88" i="5"/>
  <c r="BO88" i="4" s="1"/>
  <c r="BU88" s="1"/>
  <c r="BW88" s="1"/>
  <c r="AS84" i="5"/>
  <c r="BO84" i="4" s="1"/>
  <c r="BU84" s="1"/>
  <c r="BW84" s="1"/>
  <c r="AE89" i="6"/>
  <c r="AE76"/>
  <c r="AE77"/>
  <c r="AE84"/>
  <c r="AE85"/>
  <c r="AE87"/>
  <c r="AE94"/>
  <c r="AE95"/>
  <c r="AE98"/>
  <c r="AE101"/>
  <c r="AE102"/>
  <c r="AE103"/>
  <c r="AE104"/>
  <c r="AE105"/>
  <c r="BC79" i="7"/>
  <c r="BG79" s="1"/>
  <c r="BI79" s="1"/>
  <c r="AE86" i="9"/>
  <c r="AX94" i="2"/>
  <c r="AS111" i="5"/>
  <c r="BO111" i="4" s="1"/>
  <c r="BU111" s="1"/>
  <c r="BW111" s="1"/>
  <c r="BW102"/>
  <c r="BW103"/>
  <c r="BW105"/>
  <c r="AS81" i="5"/>
  <c r="BO81" i="4" s="1"/>
  <c r="BU81" s="1"/>
  <c r="BW81" s="1"/>
  <c r="AE73" i="6"/>
  <c r="AE92"/>
  <c r="AE93"/>
  <c r="AE75"/>
  <c r="AE83"/>
  <c r="AE91"/>
  <c r="AE100"/>
  <c r="AS76" i="5"/>
  <c r="BO76" i="4" s="1"/>
  <c r="BU76" s="1"/>
  <c r="BW76" s="1"/>
  <c r="AS77" i="5"/>
  <c r="BO77" i="4" s="1"/>
  <c r="BU77" s="1"/>
  <c r="BW77" s="1"/>
  <c r="AX90" i="2"/>
  <c r="AS78" i="5"/>
  <c r="BO78" i="4" s="1"/>
  <c r="BU78" s="1"/>
  <c r="BW78" s="1"/>
  <c r="BW107"/>
  <c r="AS70" i="5"/>
  <c r="BO70" i="4" s="1"/>
  <c r="BU70" s="1"/>
  <c r="BW70" s="1"/>
  <c r="AE72" i="6"/>
  <c r="BW104" i="4"/>
  <c r="AS94" i="5"/>
  <c r="BO94" i="4" s="1"/>
  <c r="BU94" s="1"/>
  <c r="BW94" s="1"/>
  <c r="AS97" i="5"/>
  <c r="BO97" i="4" s="1"/>
  <c r="BU97" s="1"/>
  <c r="BW97" s="1"/>
  <c r="BO79"/>
  <c r="BU79" s="1"/>
  <c r="BW79" s="1"/>
  <c r="AE79" i="6"/>
  <c r="AE80"/>
  <c r="AS80" i="5"/>
  <c r="BO80" i="4" s="1"/>
  <c r="BU80" s="1"/>
  <c r="BW80" s="1"/>
  <c r="BO72"/>
  <c r="BU72" s="1"/>
  <c r="BW72" s="1"/>
  <c r="BI108" i="7"/>
  <c r="BC73"/>
  <c r="BG73" s="1"/>
  <c r="BI73" s="1"/>
  <c r="BC72"/>
  <c r="BG72" s="1"/>
  <c r="BI72" s="1"/>
  <c r="BI106"/>
  <c r="BC80"/>
  <c r="BG80" s="1"/>
  <c r="BI80" s="1"/>
  <c r="BC98"/>
  <c r="BG98" s="1"/>
  <c r="BI98" s="1"/>
  <c r="BC82"/>
  <c r="BG82" s="1"/>
  <c r="BI82" s="1"/>
  <c r="BC85"/>
  <c r="BG85" s="1"/>
  <c r="BI85" s="1"/>
  <c r="AE76" i="9"/>
  <c r="AE94"/>
  <c r="AE98"/>
  <c r="BG112" i="7" l="1"/>
  <c r="BI112" s="1"/>
  <c r="BX81" i="11"/>
  <c r="BZ81" s="1"/>
  <c r="BX92"/>
  <c r="BZ92" s="1"/>
  <c r="BR91"/>
  <c r="BX91" s="1"/>
  <c r="BZ91" s="1"/>
  <c r="BR80"/>
  <c r="BX80" s="1"/>
  <c r="BZ80" s="1"/>
  <c r="BX79"/>
  <c r="BZ79" s="1"/>
  <c r="BR90"/>
  <c r="BX90" s="1"/>
  <c r="BZ90" s="1"/>
  <c r="BR78"/>
  <c r="BX78" s="1"/>
  <c r="BZ78" s="1"/>
  <c r="BZ101"/>
  <c r="BZ100"/>
  <c r="BX70"/>
  <c r="BZ70" s="1"/>
  <c r="BR69"/>
  <c r="BX69" s="1"/>
  <c r="BZ69" s="1"/>
  <c r="BX72"/>
  <c r="BZ72" s="1"/>
  <c r="BR71"/>
  <c r="BX71" s="1"/>
  <c r="BZ71" s="1"/>
  <c r="BX95"/>
  <c r="BZ95" s="1"/>
  <c r="BR94"/>
  <c r="BX94" s="1"/>
  <c r="BZ94" s="1"/>
</calcChain>
</file>

<file path=xl/sharedStrings.xml><?xml version="1.0" encoding="utf-8"?>
<sst xmlns="http://schemas.openxmlformats.org/spreadsheetml/2006/main" count="4232" uniqueCount="396">
  <si>
    <t>Summary Data from the Statement of Net Assets - Governmental Activities</t>
  </si>
  <si>
    <t>Amounts</t>
  </si>
  <si>
    <t>Assets</t>
  </si>
  <si>
    <t>Net Assets</t>
  </si>
  <si>
    <t>Statement</t>
  </si>
  <si>
    <t>Current</t>
  </si>
  <si>
    <t>Capital</t>
  </si>
  <si>
    <t>Deferred</t>
  </si>
  <si>
    <t>Total</t>
  </si>
  <si>
    <t>Long-term Liabilities</t>
  </si>
  <si>
    <t>Invested in</t>
  </si>
  <si>
    <t>Balances if</t>
  </si>
  <si>
    <t>County</t>
  </si>
  <si>
    <t>IRN #</t>
  </si>
  <si>
    <t>Investments</t>
  </si>
  <si>
    <t>Liabilities</t>
  </si>
  <si>
    <t>More Than 1 Yr</t>
  </si>
  <si>
    <t>Capital Assets</t>
  </si>
  <si>
    <t>Restricted</t>
  </si>
  <si>
    <t>Unrestricted</t>
  </si>
  <si>
    <t>Value is "0"</t>
  </si>
  <si>
    <t>Hardin</t>
  </si>
  <si>
    <t>Revenues from the Statement of Activities - Governmental Activities</t>
  </si>
  <si>
    <t>Program Revenues - Governmental Activities</t>
  </si>
  <si>
    <t xml:space="preserve"> </t>
  </si>
  <si>
    <t xml:space="preserve">                 General Revenues - Governmental Activities</t>
  </si>
  <si>
    <t>Operating</t>
  </si>
  <si>
    <t>General</t>
  </si>
  <si>
    <t>Grants,</t>
  </si>
  <si>
    <t>Extra-</t>
  </si>
  <si>
    <t>Payments in</t>
  </si>
  <si>
    <t>Contributions</t>
  </si>
  <si>
    <t>Extraordinary/</t>
  </si>
  <si>
    <t>Revenues</t>
  </si>
  <si>
    <t>Charges for</t>
  </si>
  <si>
    <t>Program</t>
  </si>
  <si>
    <t>Property</t>
  </si>
  <si>
    <t>Grants and</t>
  </si>
  <si>
    <t>Investment</t>
  </si>
  <si>
    <t>Tuition</t>
  </si>
  <si>
    <t>curricular</t>
  </si>
  <si>
    <t>Lieu of</t>
  </si>
  <si>
    <t>and</t>
  </si>
  <si>
    <t>Transfers-</t>
  </si>
  <si>
    <t xml:space="preserve">Special </t>
  </si>
  <si>
    <t>Services</t>
  </si>
  <si>
    <t>and Interest</t>
  </si>
  <si>
    <t>Grants</t>
  </si>
  <si>
    <t>Taxes</t>
  </si>
  <si>
    <t>Entitlements</t>
  </si>
  <si>
    <t>Earnings</t>
  </si>
  <si>
    <t>and Fees</t>
  </si>
  <si>
    <t>Activities</t>
  </si>
  <si>
    <t>Donations</t>
  </si>
  <si>
    <t>Items</t>
  </si>
  <si>
    <t>This Column</t>
  </si>
  <si>
    <t>Should not</t>
  </si>
  <si>
    <t>exist</t>
  </si>
  <si>
    <t>Instruction</t>
  </si>
  <si>
    <t>Support Services</t>
  </si>
  <si>
    <t>Operation and</t>
  </si>
  <si>
    <t>outlay and</t>
  </si>
  <si>
    <t>and Activities</t>
  </si>
  <si>
    <t>Instructional</t>
  </si>
  <si>
    <t>Board of</t>
  </si>
  <si>
    <t>Maintenance</t>
  </si>
  <si>
    <t>Pupil</t>
  </si>
  <si>
    <t>Food</t>
  </si>
  <si>
    <t>Extracurricular</t>
  </si>
  <si>
    <t>Transfers</t>
  </si>
  <si>
    <t>debt</t>
  </si>
  <si>
    <t>All Other</t>
  </si>
  <si>
    <t>Beginning</t>
  </si>
  <si>
    <t>End of</t>
  </si>
  <si>
    <t>Balance if</t>
  </si>
  <si>
    <t>Special</t>
  </si>
  <si>
    <t>Vocational</t>
  </si>
  <si>
    <t>Pupils</t>
  </si>
  <si>
    <t>Staff</t>
  </si>
  <si>
    <t>Education</t>
  </si>
  <si>
    <t>Administration</t>
  </si>
  <si>
    <t>Fiscal</t>
  </si>
  <si>
    <t>Business</t>
  </si>
  <si>
    <t>of Plant</t>
  </si>
  <si>
    <t>Transportation</t>
  </si>
  <si>
    <t>Central</t>
  </si>
  <si>
    <t>Service</t>
  </si>
  <si>
    <t>Other</t>
  </si>
  <si>
    <t>Interest</t>
  </si>
  <si>
    <t>Out</t>
  </si>
  <si>
    <t>principal</t>
  </si>
  <si>
    <t>Expenses</t>
  </si>
  <si>
    <t>of Year</t>
  </si>
  <si>
    <t>Year</t>
  </si>
  <si>
    <t>Summary Data from the General Fund Balance Sheet</t>
  </si>
  <si>
    <t>Cash and</t>
  </si>
  <si>
    <t>Reserved</t>
  </si>
  <si>
    <t>Fund</t>
  </si>
  <si>
    <t>Balances</t>
  </si>
  <si>
    <t>Revenue</t>
  </si>
  <si>
    <t>Fund Balance</t>
  </si>
  <si>
    <t>General Fund Revenues - Modified Accrual Basis of Accounting</t>
  </si>
  <si>
    <t>Other Financing Sources</t>
  </si>
  <si>
    <t>Payments</t>
  </si>
  <si>
    <t>Inter-</t>
  </si>
  <si>
    <t>in Lieu</t>
  </si>
  <si>
    <t>Note</t>
  </si>
  <si>
    <t>Bond</t>
  </si>
  <si>
    <t>Financing</t>
  </si>
  <si>
    <t>governmental</t>
  </si>
  <si>
    <t>of Taxes</t>
  </si>
  <si>
    <t>Transfers in</t>
  </si>
  <si>
    <t>Advances in</t>
  </si>
  <si>
    <t>Proceeds</t>
  </si>
  <si>
    <t>Sources</t>
  </si>
  <si>
    <t>General Fund Expenditures - Modified Accrual Basis of Accounting</t>
  </si>
  <si>
    <t>Debt Service</t>
  </si>
  <si>
    <t>Other Financing Uses</t>
  </si>
  <si>
    <t>Net</t>
  </si>
  <si>
    <t>All</t>
  </si>
  <si>
    <t>Expenditures</t>
  </si>
  <si>
    <t>Change in</t>
  </si>
  <si>
    <t>Balance</t>
  </si>
  <si>
    <t>Principal</t>
  </si>
  <si>
    <t>Advances</t>
  </si>
  <si>
    <t>End</t>
  </si>
  <si>
    <t>Fund Bal.</t>
  </si>
  <si>
    <t>Outlay</t>
  </si>
  <si>
    <t>Retirement</t>
  </si>
  <si>
    <t>Uses</t>
  </si>
  <si>
    <t>Other Uses</t>
  </si>
  <si>
    <t>Summary Data from the Governmental Fund Balance Sheet</t>
  </si>
  <si>
    <t>Governmental Fund Revenues - Modified Accrual Basis of Accounting</t>
  </si>
  <si>
    <t>Income</t>
  </si>
  <si>
    <t>Miscellaneous</t>
  </si>
  <si>
    <t>Long-Term Obligations</t>
  </si>
  <si>
    <t>Due in More</t>
  </si>
  <si>
    <t>Than One Year/Tie</t>
  </si>
  <si>
    <t>Obligation</t>
  </si>
  <si>
    <t>Notes</t>
  </si>
  <si>
    <t>Compensated</t>
  </si>
  <si>
    <t>Due within</t>
  </si>
  <si>
    <t xml:space="preserve">to Statement of </t>
  </si>
  <si>
    <t>Bonds</t>
  </si>
  <si>
    <t>Loans</t>
  </si>
  <si>
    <t>Payables</t>
  </si>
  <si>
    <t>Leases</t>
  </si>
  <si>
    <t>Absences</t>
  </si>
  <si>
    <t>Obligations</t>
  </si>
  <si>
    <t>One Year</t>
  </si>
  <si>
    <t>Lorain</t>
  </si>
  <si>
    <t>Ashland</t>
  </si>
  <si>
    <t>Ashtabula</t>
  </si>
  <si>
    <t>Athens</t>
  </si>
  <si>
    <t>Lake</t>
  </si>
  <si>
    <t>Butler</t>
  </si>
  <si>
    <t>Athens-Meigs Educ Srv Ctr</t>
  </si>
  <si>
    <t>Belmont</t>
  </si>
  <si>
    <t>Brown</t>
  </si>
  <si>
    <t>Madison-Champaign Educ Srv Ctr</t>
  </si>
  <si>
    <t>Champaign</t>
  </si>
  <si>
    <t>Clark</t>
  </si>
  <si>
    <t>Clermont County Educ Srv Ctr</t>
  </si>
  <si>
    <t>Clermont</t>
  </si>
  <si>
    <t>Clinton</t>
  </si>
  <si>
    <t>Columbiana</t>
  </si>
  <si>
    <t>Cuyahoga Educ Srv Ctr</t>
  </si>
  <si>
    <t>Cuyahoga</t>
  </si>
  <si>
    <t>Darke Educ Srv Ctr</t>
  </si>
  <si>
    <t>Darke</t>
  </si>
  <si>
    <t>Delaware-Union Educ Srv Ctr</t>
  </si>
  <si>
    <t>Delaware</t>
  </si>
  <si>
    <t>Erie</t>
  </si>
  <si>
    <t>Fairfield Educ Srv Ctr</t>
  </si>
  <si>
    <t>Fairfield</t>
  </si>
  <si>
    <t>Franklin</t>
  </si>
  <si>
    <t>Northwest Ohio Educ Srv Ctr</t>
  </si>
  <si>
    <t>Gallia-Vinton Educ Srv Ctr</t>
  </si>
  <si>
    <t>Gallia</t>
  </si>
  <si>
    <t>Geauga</t>
  </si>
  <si>
    <t>Greene</t>
  </si>
  <si>
    <t>Hamilton</t>
  </si>
  <si>
    <t>Hancock</t>
  </si>
  <si>
    <t>Jefferson</t>
  </si>
  <si>
    <t>Knox</t>
  </si>
  <si>
    <t>Lawrence</t>
  </si>
  <si>
    <t>Licking Educ Srv Ctr</t>
  </si>
  <si>
    <t>Licking</t>
  </si>
  <si>
    <t>Logan</t>
  </si>
  <si>
    <t>Lucas</t>
  </si>
  <si>
    <t>Mahoning Educ Srv Ctr</t>
  </si>
  <si>
    <t>Mahoning</t>
  </si>
  <si>
    <t>Medina County Educ Srv Ctr</t>
  </si>
  <si>
    <t>Medina</t>
  </si>
  <si>
    <t>Mercer Educ Srv Ctr</t>
  </si>
  <si>
    <t>Mercer</t>
  </si>
  <si>
    <t>Miami Educ Srv Ctr</t>
  </si>
  <si>
    <t>Miami</t>
  </si>
  <si>
    <t>Montgomery Educ Srv Ctr</t>
  </si>
  <si>
    <t>Montgomery</t>
  </si>
  <si>
    <t>Muskingum Valley Educ Srv Ctr</t>
  </si>
  <si>
    <t>Muskingum</t>
  </si>
  <si>
    <t>Perry-Hocking Educ Srv Ctr</t>
  </si>
  <si>
    <t>Perry</t>
  </si>
  <si>
    <t>Pickaway Educ Srv Ctr</t>
  </si>
  <si>
    <t>Pickaway</t>
  </si>
  <si>
    <t>Portage Educ Srv Ctr</t>
  </si>
  <si>
    <t>Portage</t>
  </si>
  <si>
    <t>Preble Educ Srv Ctr</t>
  </si>
  <si>
    <t>Preble</t>
  </si>
  <si>
    <t>Putnam Educ Srv Ctr</t>
  </si>
  <si>
    <t>Putnam</t>
  </si>
  <si>
    <t>Richland</t>
  </si>
  <si>
    <t>Ross-Pike Educ Srv Ctr</t>
  </si>
  <si>
    <t>Ross</t>
  </si>
  <si>
    <t>Sandusky Educ Srv Ctr</t>
  </si>
  <si>
    <t>Sandusky</t>
  </si>
  <si>
    <t>Scioto</t>
  </si>
  <si>
    <t>Seneca</t>
  </si>
  <si>
    <t>Shelby Educ Srv Ctr</t>
  </si>
  <si>
    <t>Shelby</t>
  </si>
  <si>
    <t>Stark</t>
  </si>
  <si>
    <t>Summit Educ Srv Ctr</t>
  </si>
  <si>
    <t>Summit</t>
  </si>
  <si>
    <t>Trumbull Co Educ Srv Ctr</t>
  </si>
  <si>
    <t>Trumbull</t>
  </si>
  <si>
    <t>Tuscarawas-Carroll-Harrison Ed</t>
  </si>
  <si>
    <t>Tuscarawas</t>
  </si>
  <si>
    <t>Western Buckeye Educ Srv Ctr</t>
  </si>
  <si>
    <t>Van Wert</t>
  </si>
  <si>
    <t>Warren Educ Srv Ctr</t>
  </si>
  <si>
    <t>Warren</t>
  </si>
  <si>
    <t>Washington</t>
  </si>
  <si>
    <t>Tri-County Educ Srv Ctr</t>
  </si>
  <si>
    <t>Wayne</t>
  </si>
  <si>
    <t>Wood Educ Srv Ctr</t>
  </si>
  <si>
    <t>Wood</t>
  </si>
  <si>
    <t>Ashtabula County JVSD</t>
  </si>
  <si>
    <t>Southern Hills JVSD</t>
  </si>
  <si>
    <t>U S Grant JVSD</t>
  </si>
  <si>
    <t>Coshocton</t>
  </si>
  <si>
    <t>Gallia-Jackson-Vinton JVSD</t>
  </si>
  <si>
    <t>Henry</t>
  </si>
  <si>
    <t>Jefferson County JVSD</t>
  </si>
  <si>
    <t>Lawrence County JVSD</t>
  </si>
  <si>
    <t>Ohio Hi-Point JVSD</t>
  </si>
  <si>
    <t>Lorain County JVSD</t>
  </si>
  <si>
    <t>Central Ohio JVSD</t>
  </si>
  <si>
    <t>Madison</t>
  </si>
  <si>
    <t>Mahoning Co Career &amp; Tech Ctr</t>
  </si>
  <si>
    <t>Tri-Rivers JVSD</t>
  </si>
  <si>
    <t>Marion</t>
  </si>
  <si>
    <t>Medina County JVSD</t>
  </si>
  <si>
    <t>Upper Valley JVSD</t>
  </si>
  <si>
    <t>Pike</t>
  </si>
  <si>
    <t>Stark County Area JVSD</t>
  </si>
  <si>
    <t>Buckeye JVSD</t>
  </si>
  <si>
    <t>Warren County JVSD</t>
  </si>
  <si>
    <t>Proceeds From</t>
  </si>
  <si>
    <t>Lease</t>
  </si>
  <si>
    <t>Sale of</t>
  </si>
  <si>
    <t>(Increase)/Decrease</t>
  </si>
  <si>
    <t>Inventory</t>
  </si>
  <si>
    <t>in Reserve for</t>
  </si>
  <si>
    <t>Refund of</t>
  </si>
  <si>
    <t>Prior Year's</t>
  </si>
  <si>
    <t xml:space="preserve">Refund of </t>
  </si>
  <si>
    <t xml:space="preserve">Prior Year's </t>
  </si>
  <si>
    <t>Inception</t>
  </si>
  <si>
    <t>of Capital</t>
  </si>
  <si>
    <t>Inception of</t>
  </si>
  <si>
    <t xml:space="preserve"> Other</t>
  </si>
  <si>
    <t>Receipts</t>
  </si>
  <si>
    <t>in General</t>
  </si>
  <si>
    <t>Investment in</t>
  </si>
  <si>
    <t>Fixed Assets</t>
  </si>
  <si>
    <t>Property and</t>
  </si>
  <si>
    <t>Other Local</t>
  </si>
  <si>
    <t>Regular (1)</t>
  </si>
  <si>
    <t>(Decrease)</t>
  </si>
  <si>
    <t>Increase or</t>
  </si>
  <si>
    <t>Designated</t>
  </si>
  <si>
    <t>Special Items</t>
  </si>
  <si>
    <t>In / (Out)</t>
  </si>
  <si>
    <t xml:space="preserve">Unreserved, </t>
  </si>
  <si>
    <t>Unreserved,</t>
  </si>
  <si>
    <t>Ashland County-West Holmes JVSD</t>
  </si>
  <si>
    <t>Delaware Area Career Center</t>
  </si>
  <si>
    <t>Cuyahoga Valley Career Center</t>
  </si>
  <si>
    <t>Eastland-Fairfield Career and Tech Ctr</t>
  </si>
  <si>
    <t>Ehove Career Center</t>
  </si>
  <si>
    <t>Coshocton County Career Center</t>
  </si>
  <si>
    <t>Four County Career Center</t>
  </si>
  <si>
    <t>Knox County Career Center</t>
  </si>
  <si>
    <t>Maplewood Career Center</t>
  </si>
  <si>
    <t>Miami Valley Career Tech Ctr</t>
  </si>
  <si>
    <t>Mid-East Career &amp; Tech Center</t>
  </si>
  <si>
    <t>Penta County JVSD</t>
  </si>
  <si>
    <t>Pickaway-Ross County Career &amp; Tech Ctr</t>
  </si>
  <si>
    <t>Pike County JVSD</t>
  </si>
  <si>
    <t>Pioneer Career &amp; Tech Ctr</t>
  </si>
  <si>
    <t>Polaris Career Center</t>
  </si>
  <si>
    <t>Portage Lakes Career Center</t>
  </si>
  <si>
    <t>Scioto County JVSD</t>
  </si>
  <si>
    <t>Trumbull Career &amp; Tech Ctr</t>
  </si>
  <si>
    <t>Vanguard-Sentinel Career Center</t>
  </si>
  <si>
    <t>Vantage Career Center</t>
  </si>
  <si>
    <t>Wayne County JVSD</t>
  </si>
  <si>
    <t>Career Centers/Joint Vocational School Districts</t>
  </si>
  <si>
    <t>Educational Service Centers</t>
  </si>
  <si>
    <t>(Continued)</t>
  </si>
  <si>
    <t>Undesignated</t>
  </si>
  <si>
    <t>Governmental Fund Expenditures - Modified Accrual Basis of Accounting</t>
  </si>
  <si>
    <t>Ohio Vally Educ Srv Ctr</t>
  </si>
  <si>
    <t>Ohio Vallly Educ Srv Ctr</t>
  </si>
  <si>
    <t>Ohio Valley Educ Srv Ctr</t>
  </si>
  <si>
    <t>All Career Centers/Joint Vocational School Districts and Educational Service Centers Reporting Under GAAP</t>
  </si>
  <si>
    <t>Paulding</t>
  </si>
  <si>
    <t xml:space="preserve">Taxes </t>
  </si>
  <si>
    <t>Licking Co Career &amp; Tech Ctr</t>
  </si>
  <si>
    <t>Guernsey</t>
  </si>
  <si>
    <t>Allen</t>
  </si>
  <si>
    <t>Auglaize</t>
  </si>
  <si>
    <t>Southern Ohio Educ Srv Ctr</t>
  </si>
  <si>
    <t>South Central Ohio Educ Srv Ctr</t>
  </si>
  <si>
    <t>Washington County Career Center</t>
  </si>
  <si>
    <t>North Central Ohio Educ Srv Ctr</t>
  </si>
  <si>
    <t xml:space="preserve">Tuscarawas-Carroll-Harrison ESC </t>
  </si>
  <si>
    <t xml:space="preserve">Expenses from the Statement of Activities - Governmental Activities </t>
  </si>
  <si>
    <t>Total Program</t>
  </si>
  <si>
    <t xml:space="preserve">and General </t>
  </si>
  <si>
    <t xml:space="preserve">Revenues, </t>
  </si>
  <si>
    <t>Transfers, and</t>
  </si>
  <si>
    <t>Revenues, Other</t>
  </si>
  <si>
    <t>Financing Sources</t>
  </si>
  <si>
    <t>and Extraordinary/</t>
  </si>
  <si>
    <t>Springfield-Clark Co Career Tech Center</t>
  </si>
  <si>
    <t>Butler Technology and Career Development</t>
  </si>
  <si>
    <t>Columbiana County Career &amp; Technical Center</t>
  </si>
  <si>
    <t>Darke Educ Srv Ctr (CASH)</t>
  </si>
  <si>
    <t>Central Ohio JVSD- now Tolles Career &amp; Technical Center since 2005</t>
  </si>
  <si>
    <t>Tolles Career and Technical Center</t>
  </si>
  <si>
    <t>Career and Technology Education Centers of Licking County</t>
  </si>
  <si>
    <t xml:space="preserve">Clinton Fayette Highland Educ-now Southern Ohio ESC. </t>
  </si>
  <si>
    <t>Erie-Huron-Ottawa Educ Srv Ctr-now North Point ESC</t>
  </si>
  <si>
    <t>Allen Co Educ Srv Ctr (CASH)</t>
  </si>
  <si>
    <t>Ashtabula Co Educ Srv Ctr (CASH)</t>
  </si>
  <si>
    <t>Mid-Ohio Educ Srv Ctr  (CASH)</t>
  </si>
  <si>
    <t>Mercer Educ Srv Ctr (CASH)</t>
  </si>
  <si>
    <t>Preble Educ Srv Ctr (CASH)</t>
  </si>
  <si>
    <t>Clinton Fayette Highland Educ-now Southern Ohio ESC</t>
  </si>
  <si>
    <t xml:space="preserve">Stark Educ Srv Ctr </t>
  </si>
  <si>
    <t>Warren Educ Srv Ctr (CASH)</t>
  </si>
  <si>
    <t>Franklin Educ Srv Ctr-now Educational Serv Ctr of Cen Oh</t>
  </si>
  <si>
    <t>District</t>
  </si>
  <si>
    <t xml:space="preserve">Stark Educ Srv Ctr  </t>
  </si>
  <si>
    <t>Non-Instructional Services</t>
  </si>
  <si>
    <t>As of June 30, 2010</t>
  </si>
  <si>
    <t>For the Fiscal Year Ended June 30, 2010</t>
  </si>
  <si>
    <t xml:space="preserve">Apollo Career Ctr </t>
  </si>
  <si>
    <t>Auburn VSD</t>
  </si>
  <si>
    <t>Belmont-Harrison VSD</t>
  </si>
  <si>
    <t>Auglaize Co Educ Academy (CASH)</t>
  </si>
  <si>
    <t>Delaware-Union Educ Srv Ctr - see note to right</t>
  </si>
  <si>
    <t>Butler County Educ Srv Ctr</t>
  </si>
  <si>
    <t>Brown County Educ Srv Ctr</t>
  </si>
  <si>
    <t>Clark County Educ Srv Ctr</t>
  </si>
  <si>
    <t>Columbiana County Educ Srv Ctr</t>
  </si>
  <si>
    <t>Lawrence County Educ Srv Ctr</t>
  </si>
  <si>
    <t>Licking County Educ Srv Ctr</t>
  </si>
  <si>
    <t>Logan County Educ Srv Ctr</t>
  </si>
  <si>
    <t>Lorain County Educ Srv Ctr</t>
  </si>
  <si>
    <t>Lucas County Educ Srv Ctr</t>
  </si>
  <si>
    <t>North Point Educ Srv Ctr</t>
  </si>
  <si>
    <t>Great Oaks Inst Of Technology &amp; Career Development</t>
  </si>
  <si>
    <t>Greene County VSD</t>
  </si>
  <si>
    <t>Geauga County Edu Srv Ctr</t>
  </si>
  <si>
    <t>Greene County Educ Srv Ctr</t>
  </si>
  <si>
    <t>Hamilton County Educ Srv Ctr</t>
  </si>
  <si>
    <t>Hancock County Educ Srv Ctr</t>
  </si>
  <si>
    <t>Hardin County Educ Srv Ctr</t>
  </si>
  <si>
    <t>Jefferson County Educ Srv Ctr</t>
  </si>
  <si>
    <t>Knox County Educ Srv Ctr</t>
  </si>
  <si>
    <t>Lake County Educ Srv Ctr</t>
  </si>
  <si>
    <t>East Central Ohio Educ Srv Ctr</t>
  </si>
  <si>
    <t>Tuscarawas-Carroll-Harrison Educ Srv Ctr - now East Ctl OH ESC</t>
  </si>
  <si>
    <t>Sandusky Educ Srv Ctr - merged with two other ESC</t>
  </si>
  <si>
    <t>Washington Educ Srv Ctr - merged with Ohio Valley ESC</t>
  </si>
  <si>
    <t>Tri County Career Center</t>
  </si>
  <si>
    <t>Within 1 Yr</t>
  </si>
  <si>
    <t>Liabilities continued</t>
  </si>
  <si>
    <t>Support Services continued</t>
  </si>
  <si>
    <t>(1) In some instances, Regular Instruction may include all Instruction types.</t>
  </si>
  <si>
    <t>Total Long-Term</t>
  </si>
  <si>
    <t>Other Financing Sources continued</t>
  </si>
  <si>
    <t>Fund Balances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</si>
</sst>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0_);\(0\)"/>
  </numFmts>
  <fonts count="10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u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7.5"/>
      <name val="Times New Roman"/>
      <family val="1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2">
    <xf numFmtId="0" fontId="0" fillId="0" borderId="0"/>
    <xf numFmtId="3" fontId="6" fillId="0" borderId="0" applyFont="0" applyFill="0" applyBorder="0" applyAlignment="0" applyProtection="0"/>
  </cellStyleXfs>
  <cellXfs count="75">
    <xf numFmtId="0" fontId="0" fillId="0" borderId="0" xfId="0"/>
    <xf numFmtId="37" fontId="2" fillId="0" borderId="0" xfId="0" applyNumberFormat="1" applyFont="1" applyFill="1" applyBorder="1"/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/>
    <xf numFmtId="37" fontId="1" fillId="0" borderId="0" xfId="0" applyNumberFormat="1" applyFont="1" applyFill="1" applyBorder="1" applyAlignment="1"/>
    <xf numFmtId="37" fontId="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/>
    </xf>
    <xf numFmtId="37" fontId="1" fillId="0" borderId="0" xfId="0" applyNumberFormat="1" applyFont="1" applyFill="1"/>
    <xf numFmtId="37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7" fontId="2" fillId="0" borderId="2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37" fontId="4" fillId="0" borderId="0" xfId="0" applyNumberFormat="1" applyFont="1" applyFill="1"/>
    <xf numFmtId="3" fontId="2" fillId="0" borderId="1" xfId="0" applyNumberFormat="1" applyFont="1" applyFill="1" applyBorder="1" applyAlignment="1">
      <alignment horizontal="center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/>
    <xf numFmtId="37" fontId="2" fillId="0" borderId="0" xfId="0" applyNumberFormat="1" applyFont="1" applyFill="1" applyAlignment="1">
      <alignment horizontal="right"/>
    </xf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37" fontId="0" fillId="0" borderId="0" xfId="0" applyNumberFormat="1" applyFill="1"/>
    <xf numFmtId="37" fontId="2" fillId="0" borderId="0" xfId="1" applyNumberFormat="1" applyFont="1" applyFill="1" applyBorder="1" applyAlignment="1">
      <alignment horizontal="right"/>
    </xf>
    <xf numFmtId="37" fontId="2" fillId="0" borderId="0" xfId="0" applyNumberFormat="1" applyFont="1" applyFill="1" applyAlignment="1">
      <alignment horizontal="right" wrapText="1"/>
    </xf>
    <xf numFmtId="0" fontId="6" fillId="0" borderId="0" xfId="0" applyFont="1" applyFill="1"/>
    <xf numFmtId="37" fontId="1" fillId="0" borderId="0" xfId="0" applyNumberFormat="1" applyFont="1" applyFill="1" applyAlignment="1"/>
    <xf numFmtId="37" fontId="2" fillId="0" borderId="0" xfId="0" applyNumberFormat="1" applyFont="1" applyFill="1" applyAlignment="1"/>
    <xf numFmtId="37" fontId="6" fillId="0" borderId="0" xfId="0" applyNumberFormat="1" applyFont="1" applyFill="1"/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Continuous"/>
    </xf>
    <xf numFmtId="37" fontId="2" fillId="0" borderId="0" xfId="0" applyNumberFormat="1" applyFont="1" applyFill="1" applyAlignment="1">
      <alignment horizontal="centerContinuous"/>
    </xf>
    <xf numFmtId="164" fontId="2" fillId="0" borderId="1" xfId="0" applyNumberFormat="1" applyFont="1" applyFill="1" applyBorder="1" applyAlignment="1">
      <alignment horizontal="center"/>
    </xf>
    <xf numFmtId="37" fontId="2" fillId="0" borderId="1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Fill="1"/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5" fontId="2" fillId="0" borderId="0" xfId="0" applyNumberFormat="1" applyFont="1" applyFill="1" applyBorder="1"/>
    <xf numFmtId="5" fontId="6" fillId="0" borderId="0" xfId="0" applyNumberFormat="1" applyFont="1" applyFill="1"/>
    <xf numFmtId="0" fontId="2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/>
    <xf numFmtId="3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37" fontId="2" fillId="0" borderId="1" xfId="0" applyNumberFormat="1" applyFont="1" applyFill="1" applyBorder="1" applyAlignment="1">
      <alignment horizontal="centerContinuous"/>
    </xf>
    <xf numFmtId="37" fontId="1" fillId="0" borderId="0" xfId="0" applyNumberFormat="1" applyFont="1" applyFill="1" applyBorder="1" applyAlignment="1">
      <alignment horizontal="left"/>
    </xf>
    <xf numFmtId="37" fontId="7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3" fontId="1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1" fillId="0" borderId="0" xfId="0" applyFont="1" applyFill="1" applyAlignment="1">
      <alignment horizontal="center"/>
    </xf>
    <xf numFmtId="5" fontId="2" fillId="0" borderId="0" xfId="1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/>
    <xf numFmtId="37" fontId="5" fillId="0" borderId="0" xfId="0" applyNumberFormat="1" applyFont="1" applyFill="1" applyBorder="1" applyAlignment="1">
      <alignment horizontal="left"/>
    </xf>
    <xf numFmtId="37" fontId="1" fillId="0" borderId="1" xfId="0" applyNumberFormat="1" applyFont="1" applyFill="1" applyBorder="1" applyAlignment="1">
      <alignment horizontal="centerContinuous"/>
    </xf>
    <xf numFmtId="37" fontId="2" fillId="0" borderId="0" xfId="0" applyNumberFormat="1" applyFont="1" applyFill="1" applyBorder="1" applyAlignment="1">
      <alignment horizontal="left"/>
    </xf>
    <xf numFmtId="37" fontId="1" fillId="0" borderId="0" xfId="0" applyNumberFormat="1" applyFont="1" applyFill="1" applyAlignment="1">
      <alignment horizontal="right"/>
    </xf>
    <xf numFmtId="37" fontId="2" fillId="0" borderId="1" xfId="0" applyNumberFormat="1" applyFont="1" applyFill="1" applyBorder="1" applyAlignment="1">
      <alignment horizontal="left"/>
    </xf>
    <xf numFmtId="5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5" fontId="2" fillId="0" borderId="0" xfId="0" applyNumberFormat="1" applyFont="1" applyFill="1" applyAlignment="1">
      <alignment horizontal="right" wrapText="1"/>
    </xf>
    <xf numFmtId="37" fontId="6" fillId="0" borderId="0" xfId="0" applyNumberFormat="1" applyFont="1" applyFill="1" applyBorder="1"/>
    <xf numFmtId="37" fontId="2" fillId="0" borderId="0" xfId="0" applyNumberFormat="1" applyFont="1" applyFill="1" applyAlignment="1">
      <alignment vertical="top"/>
    </xf>
    <xf numFmtId="37" fontId="8" fillId="0" borderId="0" xfId="0" applyNumberFormat="1" applyFont="1" applyFill="1" applyAlignment="1"/>
    <xf numFmtId="0" fontId="9" fillId="0" borderId="0" xfId="0" applyFont="1" applyFill="1"/>
    <xf numFmtId="37" fontId="9" fillId="0" borderId="0" xfId="0" applyNumberFormat="1" applyFont="1" applyFill="1"/>
    <xf numFmtId="37" fontId="1" fillId="0" borderId="0" xfId="0" applyNumberFormat="1" applyFont="1" applyFill="1" applyBorder="1" applyAlignment="1">
      <alignment horizontal="centerContinuous"/>
    </xf>
    <xf numFmtId="37" fontId="2" fillId="0" borderId="1" xfId="0" applyNumberFormat="1" applyFont="1" applyFill="1" applyBorder="1" applyAlignment="1"/>
    <xf numFmtId="37" fontId="2" fillId="0" borderId="1" xfId="0" applyNumberFormat="1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left"/>
    </xf>
  </cellXfs>
  <cellStyles count="2">
    <cellStyle name="Comma0" xfId="1"/>
    <cellStyle name="Normal" xfId="0" builtinId="0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1"/>
  <sheetViews>
    <sheetView tabSelected="1"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6" sqref="A6"/>
    </sheetView>
  </sheetViews>
  <sheetFormatPr defaultColWidth="9.140625" defaultRowHeight="12"/>
  <cols>
    <col min="1" max="1" width="41.5703125" style="3" customWidth="1"/>
    <col min="2" max="2" width="1.7109375" style="3" customWidth="1"/>
    <col min="3" max="3" width="8.7109375" style="3" customWidth="1"/>
    <col min="4" max="4" width="1.7109375" style="3" hidden="1" customWidth="1"/>
    <col min="5" max="5" width="6.7109375" style="12" hidden="1" customWidth="1"/>
    <col min="6" max="6" width="1.7109375" style="3" customWidth="1"/>
    <col min="7" max="7" width="11.28515625" style="3" bestFit="1" customWidth="1"/>
    <col min="8" max="8" width="1.7109375" style="3" customWidth="1"/>
    <col min="9" max="9" width="10.28515625" style="3" bestFit="1" customWidth="1"/>
    <col min="10" max="10" width="1.7109375" style="3" customWidth="1"/>
    <col min="11" max="11" width="11.28515625" style="3" bestFit="1" customWidth="1"/>
    <col min="12" max="12" width="1.7109375" style="3" customWidth="1"/>
    <col min="13" max="13" width="10.28515625" style="3" bestFit="1" customWidth="1"/>
    <col min="14" max="14" width="1.7109375" style="3" customWidth="1"/>
    <col min="15" max="15" width="10.28515625" style="3" bestFit="1" customWidth="1"/>
    <col min="16" max="16" width="1.7109375" style="3" customWidth="1"/>
    <col min="17" max="17" width="13.28515625" style="3" bestFit="1" customWidth="1"/>
    <col min="18" max="18" width="1.7109375" style="3" customWidth="1"/>
    <col min="19" max="19" width="10.28515625" style="3" bestFit="1" customWidth="1"/>
    <col min="20" max="20" width="1.7109375" style="3" customWidth="1"/>
    <col min="21" max="21" width="11.42578125" style="3" bestFit="1" customWidth="1"/>
    <col min="22" max="22" width="1.7109375" style="3" customWidth="1"/>
    <col min="23" max="23" width="11" style="3" bestFit="1" customWidth="1"/>
    <col min="24" max="24" width="1.7109375" style="3" customWidth="1"/>
    <col min="25" max="25" width="10.28515625" style="3" bestFit="1" customWidth="1"/>
    <col min="26" max="26" width="1.7109375" style="3" customWidth="1"/>
    <col min="27" max="27" width="11.28515625" style="3" bestFit="1" customWidth="1"/>
    <col min="28" max="28" width="1.7109375" style="3" customWidth="1"/>
    <col min="29" max="29" width="11.7109375" style="3" customWidth="1"/>
    <col min="30" max="30" width="1.7109375" style="3" customWidth="1"/>
    <col min="31" max="31" width="11.7109375" style="3" customWidth="1"/>
    <col min="32" max="16384" width="9.140625" style="3"/>
  </cols>
  <sheetData>
    <row r="1" spans="1:31" ht="12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31" ht="12" customHeight="1">
      <c r="A2" s="7" t="s">
        <v>357</v>
      </c>
    </row>
    <row r="3" spans="1:31" ht="12" customHeight="1">
      <c r="A3" s="46"/>
    </row>
    <row r="4" spans="1:31" ht="12" customHeight="1">
      <c r="A4" s="7" t="s">
        <v>316</v>
      </c>
    </row>
    <row r="5" spans="1:31" ht="12" customHeight="1">
      <c r="A5" s="7"/>
    </row>
    <row r="6" spans="1:31" ht="12" customHeight="1">
      <c r="A6" s="7"/>
    </row>
    <row r="7" spans="1:31" ht="12" customHeight="1">
      <c r="A7" s="7"/>
    </row>
    <row r="8" spans="1:31" ht="12" customHeight="1">
      <c r="F8" s="1"/>
      <c r="G8" s="73" t="s">
        <v>2</v>
      </c>
      <c r="H8" s="73"/>
      <c r="I8" s="73"/>
      <c r="J8" s="5"/>
      <c r="K8" s="29"/>
      <c r="M8" s="72" t="s">
        <v>15</v>
      </c>
      <c r="N8" s="59"/>
      <c r="O8" s="73" t="s">
        <v>390</v>
      </c>
      <c r="P8" s="73"/>
      <c r="Q8" s="73"/>
      <c r="R8" s="29"/>
      <c r="S8" s="29"/>
      <c r="U8" s="73" t="s">
        <v>3</v>
      </c>
      <c r="V8" s="73"/>
      <c r="W8" s="73"/>
      <c r="X8" s="73"/>
      <c r="Y8" s="73"/>
      <c r="Z8" s="29"/>
      <c r="AA8" s="29"/>
      <c r="AC8" s="3" t="s">
        <v>4</v>
      </c>
      <c r="AE8" s="3" t="s">
        <v>4</v>
      </c>
    </row>
    <row r="9" spans="1:31" ht="12" customHeight="1">
      <c r="A9" s="20"/>
      <c r="F9" s="1"/>
      <c r="G9" s="11" t="s">
        <v>5</v>
      </c>
      <c r="H9" s="11"/>
      <c r="I9" s="11" t="s">
        <v>6</v>
      </c>
      <c r="J9" s="11"/>
      <c r="K9" s="2" t="s">
        <v>8</v>
      </c>
      <c r="M9" s="11" t="s">
        <v>5</v>
      </c>
      <c r="N9" s="11"/>
      <c r="O9" s="30" t="s">
        <v>9</v>
      </c>
      <c r="P9" s="30"/>
      <c r="Q9" s="30"/>
      <c r="R9" s="2"/>
      <c r="S9" s="2" t="s">
        <v>8</v>
      </c>
      <c r="U9" s="2" t="s">
        <v>10</v>
      </c>
      <c r="V9" s="2"/>
      <c r="W9" s="2"/>
      <c r="X9" s="2"/>
      <c r="Y9" s="2"/>
      <c r="Z9" s="2"/>
      <c r="AA9" s="2" t="s">
        <v>8</v>
      </c>
      <c r="AC9" s="3" t="s">
        <v>11</v>
      </c>
      <c r="AE9" s="3" t="s">
        <v>11</v>
      </c>
    </row>
    <row r="10" spans="1:31" ht="12" customHeight="1">
      <c r="A10" s="72" t="s">
        <v>354</v>
      </c>
      <c r="B10" s="11"/>
      <c r="C10" s="72" t="s">
        <v>12</v>
      </c>
      <c r="D10" s="11"/>
      <c r="E10" s="31" t="s">
        <v>13</v>
      </c>
      <c r="G10" s="72" t="s">
        <v>2</v>
      </c>
      <c r="H10" s="2"/>
      <c r="I10" s="72" t="s">
        <v>2</v>
      </c>
      <c r="J10" s="2"/>
      <c r="K10" s="72" t="s">
        <v>2</v>
      </c>
      <c r="L10" s="1"/>
      <c r="M10" s="72" t="s">
        <v>15</v>
      </c>
      <c r="N10" s="2"/>
      <c r="O10" s="72" t="s">
        <v>389</v>
      </c>
      <c r="P10" s="2"/>
      <c r="Q10" s="72" t="s">
        <v>16</v>
      </c>
      <c r="R10" s="2"/>
      <c r="S10" s="72" t="s">
        <v>15</v>
      </c>
      <c r="T10" s="1"/>
      <c r="U10" s="72" t="s">
        <v>17</v>
      </c>
      <c r="V10" s="2"/>
      <c r="W10" s="72" t="s">
        <v>18</v>
      </c>
      <c r="X10" s="2"/>
      <c r="Y10" s="72" t="s">
        <v>19</v>
      </c>
      <c r="Z10" s="2"/>
      <c r="AA10" s="72" t="s">
        <v>3</v>
      </c>
      <c r="AC10" s="32" t="s">
        <v>20</v>
      </c>
      <c r="AE10" s="32" t="s">
        <v>20</v>
      </c>
    </row>
    <row r="11" spans="1:31" ht="12" customHeight="1">
      <c r="A11" s="2"/>
      <c r="B11" s="11"/>
      <c r="C11" s="2"/>
      <c r="D11" s="11"/>
      <c r="E11" s="33"/>
      <c r="G11" s="2"/>
      <c r="H11" s="2"/>
      <c r="I11" s="2"/>
      <c r="J11" s="2"/>
      <c r="K11" s="2"/>
      <c r="L11" s="1"/>
      <c r="M11" s="2"/>
      <c r="N11" s="2"/>
      <c r="O11" s="2"/>
      <c r="P11" s="2"/>
      <c r="Q11" s="2"/>
      <c r="R11" s="2"/>
      <c r="S11" s="2"/>
      <c r="T11" s="1"/>
      <c r="U11" s="2"/>
      <c r="V11" s="2"/>
      <c r="W11" s="2"/>
      <c r="X11" s="2"/>
      <c r="Y11" s="2"/>
      <c r="Z11" s="2"/>
      <c r="AA11" s="2"/>
      <c r="AC11" s="1"/>
      <c r="AE11" s="1"/>
    </row>
    <row r="12" spans="1:31" ht="12" customHeight="1">
      <c r="A12" s="13" t="s">
        <v>308</v>
      </c>
      <c r="G12" s="2"/>
      <c r="H12" s="2"/>
      <c r="I12" s="2"/>
      <c r="J12" s="2"/>
      <c r="K12" s="2"/>
      <c r="L12" s="1"/>
      <c r="M12" s="2"/>
      <c r="N12" s="2"/>
      <c r="O12" s="2"/>
      <c r="P12" s="2"/>
      <c r="Q12" s="2"/>
      <c r="R12" s="2"/>
      <c r="S12" s="2"/>
      <c r="T12" s="1"/>
      <c r="U12" s="2"/>
      <c r="V12" s="2"/>
      <c r="W12" s="2"/>
      <c r="X12" s="2"/>
      <c r="Y12" s="2"/>
      <c r="Z12" s="2"/>
      <c r="AA12" s="2"/>
    </row>
    <row r="13" spans="1:31" ht="12" customHeight="1">
      <c r="A13" s="13"/>
      <c r="G13" s="2"/>
      <c r="H13" s="2"/>
      <c r="I13" s="2"/>
      <c r="J13" s="2"/>
      <c r="K13" s="2"/>
      <c r="L13" s="1"/>
      <c r="M13" s="2"/>
      <c r="N13" s="2"/>
      <c r="O13" s="2"/>
      <c r="P13" s="2"/>
      <c r="Q13" s="2"/>
      <c r="R13" s="2"/>
      <c r="S13" s="2"/>
      <c r="T13" s="1"/>
      <c r="U13" s="2"/>
      <c r="V13" s="2"/>
      <c r="W13" s="2"/>
      <c r="X13" s="2"/>
      <c r="Y13" s="2"/>
      <c r="Z13" s="2"/>
      <c r="AA13" s="2"/>
    </row>
    <row r="14" spans="1:31" ht="12" customHeight="1">
      <c r="A14" s="3" t="s">
        <v>359</v>
      </c>
      <c r="C14" s="3" t="s">
        <v>321</v>
      </c>
      <c r="G14" s="34">
        <f>+K14-I14</f>
        <v>11269067</v>
      </c>
      <c r="H14" s="34"/>
      <c r="I14" s="34">
        <v>7174376</v>
      </c>
      <c r="J14" s="34"/>
      <c r="K14" s="34">
        <v>18443443</v>
      </c>
      <c r="L14" s="34"/>
      <c r="M14" s="34">
        <f>+S14-O14-Q14</f>
        <v>5348275</v>
      </c>
      <c r="N14" s="34"/>
      <c r="O14" s="34">
        <v>301026</v>
      </c>
      <c r="P14" s="34"/>
      <c r="Q14" s="34">
        <f>1748394-301026</f>
        <v>1447368</v>
      </c>
      <c r="R14" s="34"/>
      <c r="S14" s="34">
        <v>7096669</v>
      </c>
      <c r="T14" s="34"/>
      <c r="U14" s="34">
        <v>6237513</v>
      </c>
      <c r="V14" s="34"/>
      <c r="W14" s="34">
        <f>AA14-Y14-U14</f>
        <v>1635257</v>
      </c>
      <c r="X14" s="34"/>
      <c r="Y14" s="34">
        <v>3474004</v>
      </c>
      <c r="Z14" s="34"/>
      <c r="AA14" s="34">
        <v>11346774</v>
      </c>
      <c r="AC14" s="34">
        <f>+K14-S14-AA14</f>
        <v>0</v>
      </c>
      <c r="AD14" s="34"/>
      <c r="AE14" s="34">
        <f>+G14+I14-M14-O14-U14-W14-Y14-Q14</f>
        <v>0</v>
      </c>
    </row>
    <row r="15" spans="1:31" ht="12" customHeight="1">
      <c r="A15" s="3" t="s">
        <v>286</v>
      </c>
      <c r="C15" s="3" t="s">
        <v>151</v>
      </c>
      <c r="E15" s="12">
        <v>62042</v>
      </c>
      <c r="G15" s="3">
        <f>+K15-I15</f>
        <v>9096269</v>
      </c>
      <c r="I15" s="3">
        <v>4792833</v>
      </c>
      <c r="K15" s="3">
        <v>13889102</v>
      </c>
      <c r="M15" s="3">
        <f>+S15-O15-Q15</f>
        <v>2901343</v>
      </c>
      <c r="O15" s="3">
        <v>117036</v>
      </c>
      <c r="Q15" s="3">
        <f>1331292-117036</f>
        <v>1214256</v>
      </c>
      <c r="S15" s="3">
        <v>4232635</v>
      </c>
      <c r="U15" s="3">
        <v>3773092</v>
      </c>
      <c r="W15" s="3">
        <f>AA15-Y15-U15</f>
        <v>458071</v>
      </c>
      <c r="Y15" s="3">
        <v>5425304</v>
      </c>
      <c r="AA15" s="3">
        <v>9656467</v>
      </c>
      <c r="AC15" s="3">
        <f>+K15-S15-AA15</f>
        <v>0</v>
      </c>
      <c r="AE15" s="3">
        <f>+G15+I15-M15-O15-U15-W15-Y15-Q15</f>
        <v>0</v>
      </c>
    </row>
    <row r="16" spans="1:31" ht="12" customHeight="1">
      <c r="A16" s="3" t="s">
        <v>237</v>
      </c>
      <c r="C16" s="3" t="s">
        <v>152</v>
      </c>
      <c r="E16" s="12">
        <v>50815</v>
      </c>
      <c r="G16" s="3">
        <f>+K16-I16</f>
        <v>16728591</v>
      </c>
      <c r="I16" s="3">
        <v>3764014</v>
      </c>
      <c r="K16" s="3">
        <v>20492605</v>
      </c>
      <c r="M16" s="3">
        <f>+S16-O16-Q16</f>
        <v>3925305</v>
      </c>
      <c r="O16" s="3">
        <v>126075</v>
      </c>
      <c r="Q16" s="3">
        <f>947437-126075</f>
        <v>821362</v>
      </c>
      <c r="S16" s="3">
        <v>4872742</v>
      </c>
      <c r="U16" s="3">
        <v>3764014</v>
      </c>
      <c r="W16" s="3">
        <f>AA16-Y16-U16</f>
        <v>6080276</v>
      </c>
      <c r="Y16" s="3">
        <v>5775573</v>
      </c>
      <c r="AA16" s="3">
        <v>15619863</v>
      </c>
      <c r="AC16" s="3">
        <f t="shared" ref="AC16:AC64" si="0">+K16-S16-AA16</f>
        <v>0</v>
      </c>
      <c r="AE16" s="3">
        <f t="shared" ref="AE16:AE64" si="1">+G16+I16-M16-O16-U16-W16-Y16-Q16</f>
        <v>0</v>
      </c>
    </row>
    <row r="17" spans="1:31" ht="12" customHeight="1">
      <c r="A17" s="3" t="s">
        <v>360</v>
      </c>
      <c r="C17" s="3" t="s">
        <v>154</v>
      </c>
      <c r="E17" s="12">
        <v>51169</v>
      </c>
      <c r="G17" s="3">
        <f t="shared" ref="G17:G87" si="2">+K17-I17</f>
        <v>13769801</v>
      </c>
      <c r="I17" s="3">
        <v>11914952</v>
      </c>
      <c r="K17" s="3">
        <v>25684753</v>
      </c>
      <c r="M17" s="3">
        <f t="shared" ref="M17:M87" si="3">+S17-O17-Q17</f>
        <v>6097433</v>
      </c>
      <c r="O17" s="3">
        <v>65304</v>
      </c>
      <c r="Q17" s="3">
        <f>549638-65304</f>
        <v>484334</v>
      </c>
      <c r="S17" s="3">
        <v>6647071</v>
      </c>
      <c r="U17" s="3">
        <v>11914952</v>
      </c>
      <c r="W17" s="3">
        <f t="shared" ref="W17:W87" si="4">AA17-Y17-U17</f>
        <v>118488</v>
      </c>
      <c r="Y17" s="3">
        <v>7004242</v>
      </c>
      <c r="AA17" s="3">
        <v>19037682</v>
      </c>
      <c r="AC17" s="3">
        <f t="shared" si="0"/>
        <v>0</v>
      </c>
      <c r="AE17" s="3">
        <f t="shared" si="1"/>
        <v>0</v>
      </c>
    </row>
    <row r="18" spans="1:31" ht="12" customHeight="1">
      <c r="A18" s="3" t="s">
        <v>361</v>
      </c>
      <c r="C18" s="3" t="s">
        <v>157</v>
      </c>
      <c r="E18" s="12">
        <v>50856</v>
      </c>
      <c r="G18" s="3">
        <f t="shared" si="2"/>
        <v>2444567</v>
      </c>
      <c r="I18" s="3">
        <v>2027083</v>
      </c>
      <c r="K18" s="3">
        <v>4471650</v>
      </c>
      <c r="M18" s="3">
        <f t="shared" si="3"/>
        <v>2220201</v>
      </c>
      <c r="O18" s="3">
        <v>94223</v>
      </c>
      <c r="Q18" s="3">
        <f>1451090-94223</f>
        <v>1356867</v>
      </c>
      <c r="S18" s="3">
        <v>3671291</v>
      </c>
      <c r="U18" s="3">
        <v>1727081</v>
      </c>
      <c r="W18" s="3">
        <f t="shared" si="4"/>
        <v>113079</v>
      </c>
      <c r="Y18" s="3">
        <v>-1039801</v>
      </c>
      <c r="AA18" s="3">
        <v>800359</v>
      </c>
      <c r="AC18" s="3">
        <f t="shared" si="0"/>
        <v>0</v>
      </c>
      <c r="AE18" s="3">
        <f t="shared" si="1"/>
        <v>0</v>
      </c>
    </row>
    <row r="19" spans="1:31" ht="12" customHeight="1">
      <c r="A19" s="3" t="s">
        <v>256</v>
      </c>
      <c r="C19" s="3" t="s">
        <v>227</v>
      </c>
      <c r="E19" s="12">
        <v>51656</v>
      </c>
      <c r="G19" s="3">
        <f t="shared" si="2"/>
        <v>23341555</v>
      </c>
      <c r="I19" s="3">
        <v>4599316</v>
      </c>
      <c r="K19" s="3">
        <v>27940871</v>
      </c>
      <c r="M19" s="3">
        <f t="shared" si="3"/>
        <v>5178614</v>
      </c>
      <c r="O19" s="3">
        <v>57372</v>
      </c>
      <c r="Q19" s="3">
        <f>649004-57372</f>
        <v>591632</v>
      </c>
      <c r="S19" s="3">
        <v>5827618</v>
      </c>
      <c r="U19" s="3">
        <v>4409958</v>
      </c>
      <c r="W19" s="3">
        <f t="shared" si="4"/>
        <v>5881706</v>
      </c>
      <c r="Y19" s="3">
        <v>11821589</v>
      </c>
      <c r="AA19" s="3">
        <v>22113253</v>
      </c>
      <c r="AC19" s="3">
        <f t="shared" si="0"/>
        <v>0</v>
      </c>
      <c r="AE19" s="3">
        <f t="shared" si="1"/>
        <v>0</v>
      </c>
    </row>
    <row r="20" spans="1:31" ht="12" customHeight="1">
      <c r="A20" s="3" t="s">
        <v>337</v>
      </c>
      <c r="C20" s="3" t="s">
        <v>155</v>
      </c>
      <c r="E20" s="12">
        <v>50880</v>
      </c>
      <c r="G20" s="3">
        <f t="shared" si="2"/>
        <v>43043223</v>
      </c>
      <c r="I20" s="3">
        <v>42149966</v>
      </c>
      <c r="K20" s="3">
        <v>85193189</v>
      </c>
      <c r="M20" s="3">
        <f t="shared" si="3"/>
        <v>26960661</v>
      </c>
      <c r="O20" s="3">
        <f>295237+18596</f>
        <v>313833</v>
      </c>
      <c r="Q20" s="3">
        <f>2353304+153169-295237-18596</f>
        <v>2192640</v>
      </c>
      <c r="S20" s="3">
        <v>29467134</v>
      </c>
      <c r="U20" s="3">
        <v>39521831</v>
      </c>
      <c r="W20" s="3">
        <f t="shared" si="4"/>
        <v>5398019</v>
      </c>
      <c r="Y20" s="3">
        <v>10806205</v>
      </c>
      <c r="AA20" s="3">
        <v>55726055</v>
      </c>
      <c r="AC20" s="3">
        <f>+K20-S20-AA20</f>
        <v>0</v>
      </c>
      <c r="AE20" s="3">
        <f>+G20+I20-M20-O20-U20-W20-Y20-Q20</f>
        <v>0</v>
      </c>
    </row>
    <row r="21" spans="1:31" ht="12" hidden="1" customHeight="1">
      <c r="A21" s="3" t="s">
        <v>340</v>
      </c>
      <c r="C21" s="3" t="s">
        <v>248</v>
      </c>
      <c r="E21" s="12">
        <v>63511</v>
      </c>
      <c r="G21" s="3">
        <f t="shared" si="2"/>
        <v>0</v>
      </c>
      <c r="M21" s="3">
        <f t="shared" si="3"/>
        <v>0</v>
      </c>
      <c r="W21" s="3">
        <f t="shared" si="4"/>
        <v>0</v>
      </c>
      <c r="AC21" s="3">
        <f t="shared" si="0"/>
        <v>0</v>
      </c>
      <c r="AE21" s="3">
        <f t="shared" si="1"/>
        <v>0</v>
      </c>
    </row>
    <row r="22" spans="1:31" ht="12" customHeight="1">
      <c r="A22" s="3" t="s">
        <v>338</v>
      </c>
      <c r="C22" s="3" t="s">
        <v>165</v>
      </c>
      <c r="E22" s="12">
        <v>50906</v>
      </c>
      <c r="G22" s="3">
        <f t="shared" si="2"/>
        <v>8368647</v>
      </c>
      <c r="I22" s="3">
        <v>7114089</v>
      </c>
      <c r="K22" s="3">
        <v>15482736</v>
      </c>
      <c r="M22" s="3">
        <f t="shared" si="3"/>
        <v>2239103</v>
      </c>
      <c r="O22" s="3">
        <v>78054</v>
      </c>
      <c r="Q22" s="3">
        <f>295606-78054</f>
        <v>217552</v>
      </c>
      <c r="S22" s="3">
        <v>2534709</v>
      </c>
      <c r="U22" s="3">
        <v>7114089</v>
      </c>
      <c r="W22" s="3">
        <f t="shared" si="4"/>
        <v>-29570628</v>
      </c>
      <c r="Y22" s="3">
        <v>35404566</v>
      </c>
      <c r="AA22" s="3">
        <v>12948027</v>
      </c>
      <c r="AC22" s="3">
        <f>+K22-S22-AA22</f>
        <v>0</v>
      </c>
      <c r="AE22" s="3">
        <f t="shared" si="1"/>
        <v>0</v>
      </c>
    </row>
    <row r="23" spans="1:31" ht="12" customHeight="1">
      <c r="A23" s="3" t="s">
        <v>291</v>
      </c>
      <c r="C23" s="3" t="s">
        <v>240</v>
      </c>
      <c r="E23" s="12">
        <v>65227</v>
      </c>
      <c r="G23" s="3">
        <f t="shared" si="2"/>
        <v>2619283</v>
      </c>
      <c r="I23" s="3">
        <v>989952</v>
      </c>
      <c r="K23" s="3">
        <v>3609235</v>
      </c>
      <c r="M23" s="3">
        <f t="shared" si="3"/>
        <v>1637024</v>
      </c>
      <c r="O23" s="3">
        <v>60971</v>
      </c>
      <c r="Q23" s="3">
        <f>513581-60971</f>
        <v>452610</v>
      </c>
      <c r="S23" s="3">
        <v>2150605</v>
      </c>
      <c r="U23" s="3">
        <v>813662</v>
      </c>
      <c r="W23" s="3">
        <f t="shared" si="4"/>
        <v>104111</v>
      </c>
      <c r="Y23" s="3">
        <v>540857</v>
      </c>
      <c r="AA23" s="3">
        <v>1458630</v>
      </c>
      <c r="AC23" s="3">
        <f t="shared" si="0"/>
        <v>0</v>
      </c>
      <c r="AE23" s="3">
        <f t="shared" si="1"/>
        <v>0</v>
      </c>
    </row>
    <row r="24" spans="1:31" ht="12" customHeight="1">
      <c r="A24" s="3" t="s">
        <v>342</v>
      </c>
      <c r="C24" s="3" t="s">
        <v>187</v>
      </c>
      <c r="E24" s="12">
        <v>51201</v>
      </c>
      <c r="G24" s="3">
        <f t="shared" si="2"/>
        <v>16945021</v>
      </c>
      <c r="I24" s="3">
        <v>38067461</v>
      </c>
      <c r="K24" s="3">
        <v>55012482</v>
      </c>
      <c r="M24" s="3">
        <f t="shared" si="3"/>
        <v>8997198</v>
      </c>
      <c r="O24" s="3">
        <v>1459773</v>
      </c>
      <c r="Q24" s="3">
        <f>33178098-1459773</f>
        <v>31718325</v>
      </c>
      <c r="S24" s="3">
        <v>42175296</v>
      </c>
      <c r="U24" s="3">
        <v>10531670</v>
      </c>
      <c r="W24" s="3">
        <f t="shared" si="4"/>
        <v>1644210</v>
      </c>
      <c r="Y24" s="3">
        <v>661306</v>
      </c>
      <c r="AA24" s="3">
        <v>12837186</v>
      </c>
      <c r="AC24" s="3">
        <f>+K24-S24-AA24</f>
        <v>0</v>
      </c>
      <c r="AE24" s="3">
        <f t="shared" si="1"/>
        <v>0</v>
      </c>
    </row>
    <row r="25" spans="1:31" ht="12" customHeight="1">
      <c r="A25" s="3" t="s">
        <v>288</v>
      </c>
      <c r="C25" s="3" t="s">
        <v>167</v>
      </c>
      <c r="E25" s="12">
        <v>50922</v>
      </c>
      <c r="G25" s="3">
        <f t="shared" si="2"/>
        <v>26347056</v>
      </c>
      <c r="I25" s="3">
        <v>17884679</v>
      </c>
      <c r="K25" s="3">
        <v>44231735</v>
      </c>
      <c r="M25" s="3">
        <f t="shared" si="3"/>
        <v>10982487</v>
      </c>
      <c r="O25" s="3">
        <v>92915</v>
      </c>
      <c r="Q25" s="3">
        <f>1716050-92915</f>
        <v>1623135</v>
      </c>
      <c r="S25" s="3">
        <v>12698537</v>
      </c>
      <c r="U25" s="3">
        <v>17884679</v>
      </c>
      <c r="W25" s="3">
        <f t="shared" si="4"/>
        <v>903257</v>
      </c>
      <c r="Y25" s="3">
        <v>12745262</v>
      </c>
      <c r="AA25" s="3">
        <v>31533198</v>
      </c>
      <c r="AC25" s="3">
        <f t="shared" si="0"/>
        <v>0</v>
      </c>
      <c r="AE25" s="3">
        <f t="shared" si="1"/>
        <v>0</v>
      </c>
    </row>
    <row r="26" spans="1:31" ht="12" customHeight="1">
      <c r="A26" s="3" t="s">
        <v>287</v>
      </c>
      <c r="C26" s="3" t="s">
        <v>171</v>
      </c>
      <c r="E26" s="12">
        <v>50989</v>
      </c>
      <c r="G26" s="3">
        <f t="shared" si="2"/>
        <v>30577743</v>
      </c>
      <c r="I26" s="3">
        <v>14057068</v>
      </c>
      <c r="K26" s="3">
        <v>44634811</v>
      </c>
      <c r="M26" s="3">
        <f t="shared" si="3"/>
        <v>10379215</v>
      </c>
      <c r="O26" s="3">
        <v>110635</v>
      </c>
      <c r="Q26" s="3">
        <f>1272525-110635</f>
        <v>1161890</v>
      </c>
      <c r="S26" s="3">
        <v>11651740</v>
      </c>
      <c r="U26" s="3">
        <v>13973735</v>
      </c>
      <c r="W26" s="3">
        <f t="shared" si="4"/>
        <v>4041422</v>
      </c>
      <c r="Y26" s="3">
        <v>14967914</v>
      </c>
      <c r="AA26" s="3">
        <v>32983071</v>
      </c>
      <c r="AC26" s="3">
        <f t="shared" si="0"/>
        <v>0</v>
      </c>
      <c r="AE26" s="3">
        <f t="shared" si="1"/>
        <v>0</v>
      </c>
    </row>
    <row r="27" spans="1:31" ht="12" customHeight="1">
      <c r="A27" s="3" t="s">
        <v>289</v>
      </c>
      <c r="C27" s="3" t="s">
        <v>175</v>
      </c>
      <c r="E27" s="12">
        <v>51003</v>
      </c>
      <c r="G27" s="3">
        <f>+K27-I27</f>
        <v>35583156</v>
      </c>
      <c r="I27" s="3">
        <f>449800+23033486</f>
        <v>23483286</v>
      </c>
      <c r="K27" s="3">
        <v>59066442</v>
      </c>
      <c r="M27" s="3">
        <f t="shared" si="3"/>
        <v>12905014</v>
      </c>
      <c r="O27" s="3">
        <v>728365</v>
      </c>
      <c r="Q27" s="3">
        <v>1407549</v>
      </c>
      <c r="S27" s="3">
        <v>15040928</v>
      </c>
      <c r="U27" s="3">
        <v>23033286</v>
      </c>
      <c r="W27" s="3">
        <f t="shared" si="4"/>
        <v>34123</v>
      </c>
      <c r="Y27" s="3">
        <v>20958105</v>
      </c>
      <c r="AA27" s="3">
        <v>44025514</v>
      </c>
      <c r="AC27" s="3">
        <f>+K27-S27-AA27</f>
        <v>0</v>
      </c>
      <c r="AE27" s="3">
        <f>+G27+I27-M27-O27-U27-W27-Y27-Q27</f>
        <v>0</v>
      </c>
    </row>
    <row r="28" spans="1:31" ht="12" customHeight="1">
      <c r="A28" s="3" t="s">
        <v>290</v>
      </c>
      <c r="C28" s="3" t="s">
        <v>172</v>
      </c>
      <c r="E28" s="12">
        <v>51029</v>
      </c>
      <c r="G28" s="3">
        <f>+K28-I28</f>
        <v>14004349</v>
      </c>
      <c r="I28" s="3">
        <f>396420+1207153</f>
        <v>1603573</v>
      </c>
      <c r="K28" s="3">
        <v>15607922</v>
      </c>
      <c r="M28" s="3">
        <f t="shared" si="3"/>
        <v>6381683</v>
      </c>
      <c r="O28" s="3">
        <v>264938</v>
      </c>
      <c r="Q28" s="3">
        <v>3790156</v>
      </c>
      <c r="S28" s="3">
        <v>10436777</v>
      </c>
      <c r="U28" s="3">
        <v>125573</v>
      </c>
      <c r="W28" s="3">
        <f t="shared" si="4"/>
        <v>1546883</v>
      </c>
      <c r="Y28" s="3">
        <v>3498689</v>
      </c>
      <c r="AA28" s="3">
        <v>5171145</v>
      </c>
      <c r="AC28" s="3">
        <f>+K28-S28-AA28</f>
        <v>0</v>
      </c>
      <c r="AE28" s="3">
        <f>+G28+I28-M28-O28-U28-W28-Y28-Q28</f>
        <v>0</v>
      </c>
    </row>
    <row r="29" spans="1:31" ht="12" customHeight="1">
      <c r="A29" s="3" t="s">
        <v>292</v>
      </c>
      <c r="C29" s="3" t="s">
        <v>242</v>
      </c>
      <c r="E29" s="12">
        <v>50963</v>
      </c>
      <c r="G29" s="3">
        <f>+K29-I29</f>
        <v>18372143</v>
      </c>
      <c r="I29" s="3">
        <f>219258+8145828</f>
        <v>8365086</v>
      </c>
      <c r="K29" s="3">
        <v>26737229</v>
      </c>
      <c r="M29" s="3">
        <f t="shared" si="3"/>
        <v>6333619</v>
      </c>
      <c r="O29" s="3">
        <v>123861</v>
      </c>
      <c r="Q29" s="3">
        <v>1269869</v>
      </c>
      <c r="S29" s="3">
        <v>7727349</v>
      </c>
      <c r="U29" s="3">
        <v>8140063</v>
      </c>
      <c r="W29" s="3">
        <f t="shared" si="4"/>
        <v>2950417</v>
      </c>
      <c r="Y29" s="3">
        <v>7919400</v>
      </c>
      <c r="AA29" s="3">
        <v>19009880</v>
      </c>
      <c r="AC29" s="3">
        <f>+K29-S29-AA29</f>
        <v>0</v>
      </c>
      <c r="AE29" s="3">
        <f>+G29+I29-M29-O29-U29-W29-Y29-Q29</f>
        <v>0</v>
      </c>
    </row>
    <row r="30" spans="1:31" ht="12" customHeight="1">
      <c r="A30" s="3" t="s">
        <v>241</v>
      </c>
      <c r="C30" s="3" t="s">
        <v>178</v>
      </c>
      <c r="E30" s="12">
        <v>62067</v>
      </c>
      <c r="G30" s="3">
        <f t="shared" si="2"/>
        <v>12389389</v>
      </c>
      <c r="I30" s="3">
        <v>20964918</v>
      </c>
      <c r="K30" s="3">
        <v>33354307</v>
      </c>
      <c r="M30" s="3">
        <f t="shared" si="3"/>
        <v>4071510</v>
      </c>
      <c r="O30" s="3">
        <v>221455</v>
      </c>
      <c r="Q30" s="3">
        <f>3143735+50940-221455</f>
        <v>2973220</v>
      </c>
      <c r="S30" s="3">
        <v>7266185</v>
      </c>
      <c r="U30" s="3">
        <v>18312918</v>
      </c>
      <c r="W30" s="3">
        <f t="shared" si="4"/>
        <v>4787518</v>
      </c>
      <c r="Y30" s="3">
        <v>2987686</v>
      </c>
      <c r="AA30" s="3">
        <v>26088122</v>
      </c>
      <c r="AC30" s="3">
        <f t="shared" si="0"/>
        <v>0</v>
      </c>
      <c r="AE30" s="3">
        <f t="shared" si="1"/>
        <v>0</v>
      </c>
    </row>
    <row r="31" spans="1:31" ht="12" customHeight="1">
      <c r="A31" s="3" t="s">
        <v>374</v>
      </c>
      <c r="C31" s="3" t="s">
        <v>181</v>
      </c>
      <c r="E31" s="12">
        <v>51060</v>
      </c>
      <c r="G31" s="3">
        <f t="shared" si="2"/>
        <v>91442808</v>
      </c>
      <c r="I31" s="3">
        <v>99517219</v>
      </c>
      <c r="K31" s="3">
        <v>190960027</v>
      </c>
      <c r="M31" s="3">
        <f t="shared" si="3"/>
        <v>33221710</v>
      </c>
      <c r="O31" s="3">
        <v>1694293</v>
      </c>
      <c r="Q31" s="3">
        <f>22344336-1694293</f>
        <v>20650043</v>
      </c>
      <c r="S31" s="3">
        <v>55566046</v>
      </c>
      <c r="U31" s="3">
        <v>89107739</v>
      </c>
      <c r="W31" s="3">
        <f t="shared" si="4"/>
        <v>1258960</v>
      </c>
      <c r="Y31" s="3">
        <v>45027282</v>
      </c>
      <c r="AA31" s="3">
        <v>135393981</v>
      </c>
      <c r="AC31" s="3">
        <f t="shared" si="0"/>
        <v>0</v>
      </c>
      <c r="AE31" s="3">
        <f t="shared" si="1"/>
        <v>0</v>
      </c>
    </row>
    <row r="32" spans="1:31" ht="12" customHeight="1">
      <c r="A32" s="3" t="s">
        <v>375</v>
      </c>
      <c r="C32" s="3" t="s">
        <v>180</v>
      </c>
      <c r="E32" s="12">
        <v>51045</v>
      </c>
      <c r="G32" s="3">
        <f t="shared" si="2"/>
        <v>18722803</v>
      </c>
      <c r="I32" s="3">
        <v>8407451</v>
      </c>
      <c r="K32" s="3">
        <v>27130254</v>
      </c>
      <c r="M32" s="3">
        <f t="shared" si="3"/>
        <v>9252240</v>
      </c>
      <c r="O32" s="3">
        <v>93877</v>
      </c>
      <c r="Q32" s="3">
        <f>651996-93877</f>
        <v>558119</v>
      </c>
      <c r="S32" s="3">
        <v>9904236</v>
      </c>
      <c r="U32" s="3">
        <v>8224116</v>
      </c>
      <c r="W32" s="3">
        <f t="shared" si="4"/>
        <v>5925188</v>
      </c>
      <c r="Y32" s="3">
        <v>3076714</v>
      </c>
      <c r="AA32" s="3">
        <v>17226018</v>
      </c>
      <c r="AC32" s="3">
        <f t="shared" si="0"/>
        <v>0</v>
      </c>
      <c r="AE32" s="3">
        <f t="shared" si="1"/>
        <v>0</v>
      </c>
    </row>
    <row r="33" spans="1:31" ht="12" customHeight="1">
      <c r="A33" s="3" t="s">
        <v>243</v>
      </c>
      <c r="C33" s="3" t="s">
        <v>183</v>
      </c>
      <c r="E33" s="12">
        <v>51128</v>
      </c>
      <c r="G33" s="3">
        <f t="shared" si="2"/>
        <v>3546417</v>
      </c>
      <c r="I33" s="3">
        <v>2879472</v>
      </c>
      <c r="K33" s="3">
        <v>6425889</v>
      </c>
      <c r="M33" s="3">
        <f t="shared" si="3"/>
        <v>2258823</v>
      </c>
      <c r="O33" s="3">
        <v>84422</v>
      </c>
      <c r="Q33" s="3">
        <f>1416631-84422</f>
        <v>1332209</v>
      </c>
      <c r="S33" s="3">
        <v>3675454</v>
      </c>
      <c r="U33" s="3">
        <v>2050100</v>
      </c>
      <c r="W33" s="3">
        <f t="shared" si="4"/>
        <v>144924</v>
      </c>
      <c r="Y33" s="3">
        <v>555411</v>
      </c>
      <c r="AA33" s="3">
        <v>2750435</v>
      </c>
      <c r="AC33" s="3">
        <f t="shared" si="0"/>
        <v>0</v>
      </c>
      <c r="AE33" s="3">
        <f t="shared" si="1"/>
        <v>0</v>
      </c>
    </row>
    <row r="34" spans="1:31" ht="12" customHeight="1">
      <c r="A34" s="3" t="s">
        <v>293</v>
      </c>
      <c r="C34" s="3" t="s">
        <v>184</v>
      </c>
      <c r="E34" s="12">
        <v>51144</v>
      </c>
      <c r="G34" s="3">
        <f t="shared" si="2"/>
        <v>16428324</v>
      </c>
      <c r="I34" s="3">
        <v>22192793</v>
      </c>
      <c r="K34" s="3">
        <v>38621117</v>
      </c>
      <c r="M34" s="3">
        <f t="shared" si="3"/>
        <v>2758422</v>
      </c>
      <c r="O34" s="3">
        <v>298191</v>
      </c>
      <c r="Q34" s="3">
        <f>4985259-298191</f>
        <v>4687068</v>
      </c>
      <c r="S34" s="3">
        <v>7743681</v>
      </c>
      <c r="U34" s="3">
        <v>17706027</v>
      </c>
      <c r="W34" s="3">
        <f t="shared" si="4"/>
        <v>1802044</v>
      </c>
      <c r="Y34" s="3">
        <v>11369365</v>
      </c>
      <c r="AA34" s="3">
        <v>30877436</v>
      </c>
      <c r="AC34" s="3">
        <f t="shared" si="0"/>
        <v>0</v>
      </c>
      <c r="AE34" s="3">
        <f t="shared" si="1"/>
        <v>0</v>
      </c>
    </row>
    <row r="35" spans="1:31" ht="12" customHeight="1">
      <c r="A35" s="3" t="s">
        <v>244</v>
      </c>
      <c r="C35" s="3" t="s">
        <v>185</v>
      </c>
      <c r="E35" s="12">
        <v>51185</v>
      </c>
      <c r="G35" s="3">
        <f t="shared" si="2"/>
        <v>15518895</v>
      </c>
      <c r="I35" s="3">
        <v>2676821</v>
      </c>
      <c r="K35" s="3">
        <v>18195716</v>
      </c>
      <c r="M35" s="3">
        <f t="shared" si="3"/>
        <v>1903868</v>
      </c>
      <c r="O35" s="3">
        <v>230000</v>
      </c>
      <c r="Q35" s="3">
        <f>7705602-230000</f>
        <v>7475602</v>
      </c>
      <c r="S35" s="3">
        <v>9609470</v>
      </c>
      <c r="U35" s="3">
        <v>2676821</v>
      </c>
      <c r="W35" s="3">
        <f t="shared" si="4"/>
        <v>3311749</v>
      </c>
      <c r="Y35" s="3">
        <v>2597676</v>
      </c>
      <c r="AA35" s="3">
        <v>8586246</v>
      </c>
      <c r="AC35" s="3">
        <f t="shared" si="0"/>
        <v>0</v>
      </c>
      <c r="AE35" s="3">
        <f t="shared" si="1"/>
        <v>0</v>
      </c>
    </row>
    <row r="36" spans="1:31" ht="12" hidden="1" customHeight="1">
      <c r="A36" s="3" t="s">
        <v>319</v>
      </c>
      <c r="C36" s="3" t="s">
        <v>187</v>
      </c>
      <c r="E36" s="12">
        <v>47977</v>
      </c>
      <c r="G36" s="3">
        <f t="shared" si="2"/>
        <v>0</v>
      </c>
      <c r="M36" s="3">
        <f t="shared" si="3"/>
        <v>0</v>
      </c>
      <c r="W36" s="3">
        <f t="shared" si="4"/>
        <v>0</v>
      </c>
      <c r="AC36" s="3">
        <f t="shared" si="0"/>
        <v>0</v>
      </c>
      <c r="AE36" s="3">
        <f t="shared" si="1"/>
        <v>0</v>
      </c>
    </row>
    <row r="37" spans="1:31" ht="12" customHeight="1">
      <c r="A37" s="3" t="s">
        <v>246</v>
      </c>
      <c r="C37" s="3" t="s">
        <v>150</v>
      </c>
      <c r="E37" s="12">
        <v>51227</v>
      </c>
      <c r="G37" s="3">
        <f t="shared" si="2"/>
        <v>24685123</v>
      </c>
      <c r="I37" s="3">
        <v>10802968</v>
      </c>
      <c r="K37" s="3">
        <v>35488091</v>
      </c>
      <c r="M37" s="3">
        <f t="shared" si="3"/>
        <v>13712169</v>
      </c>
      <c r="O37" s="3">
        <v>404624</v>
      </c>
      <c r="Q37" s="3">
        <f>3338675-404624</f>
        <v>2934051</v>
      </c>
      <c r="S37" s="3">
        <v>17050844</v>
      </c>
      <c r="U37" s="3">
        <v>10802968</v>
      </c>
      <c r="W37" s="3">
        <f t="shared" si="4"/>
        <v>2202672</v>
      </c>
      <c r="Y37" s="3">
        <v>5431607</v>
      </c>
      <c r="AA37" s="3">
        <v>18437247</v>
      </c>
      <c r="AC37" s="3">
        <f t="shared" si="0"/>
        <v>0</v>
      </c>
      <c r="AE37" s="3">
        <f t="shared" si="1"/>
        <v>0</v>
      </c>
    </row>
    <row r="38" spans="1:31" ht="12" customHeight="1">
      <c r="A38" s="3" t="s">
        <v>249</v>
      </c>
      <c r="C38" s="3" t="s">
        <v>191</v>
      </c>
      <c r="E38" s="12">
        <v>51243</v>
      </c>
      <c r="G38" s="3">
        <f t="shared" si="2"/>
        <v>28034036</v>
      </c>
      <c r="I38" s="3">
        <f>227556+28666860</f>
        <v>28894416</v>
      </c>
      <c r="K38" s="3">
        <v>56928452</v>
      </c>
      <c r="M38" s="3">
        <f t="shared" si="3"/>
        <v>7347269</v>
      </c>
      <c r="O38" s="3">
        <v>412564</v>
      </c>
      <c r="Q38" s="3">
        <v>15286886</v>
      </c>
      <c r="S38" s="3">
        <v>23046719</v>
      </c>
      <c r="U38" s="3">
        <v>14413990</v>
      </c>
      <c r="W38" s="3">
        <f t="shared" si="4"/>
        <v>14455130</v>
      </c>
      <c r="Y38" s="3">
        <v>5012613</v>
      </c>
      <c r="AA38" s="3">
        <v>33881733</v>
      </c>
      <c r="AC38" s="3">
        <f>+K38-S38-AA38</f>
        <v>0</v>
      </c>
      <c r="AE38" s="3">
        <f t="shared" si="1"/>
        <v>0</v>
      </c>
    </row>
    <row r="39" spans="1:31" ht="12" customHeight="1">
      <c r="A39" s="3" t="s">
        <v>294</v>
      </c>
      <c r="C39" s="3" t="s">
        <v>207</v>
      </c>
      <c r="E39" s="12">
        <v>51391</v>
      </c>
      <c r="G39" s="3">
        <f t="shared" si="2"/>
        <v>27731587</v>
      </c>
      <c r="I39" s="3">
        <f>140600+7667275</f>
        <v>7807875</v>
      </c>
      <c r="K39" s="3">
        <v>35539462</v>
      </c>
      <c r="M39" s="3">
        <f t="shared" si="3"/>
        <v>6064454</v>
      </c>
      <c r="O39" s="3">
        <v>72466</v>
      </c>
      <c r="Q39" s="3">
        <v>1174413</v>
      </c>
      <c r="S39" s="3">
        <v>7311333</v>
      </c>
      <c r="U39" s="3">
        <v>7807875</v>
      </c>
      <c r="W39" s="3">
        <f t="shared" si="4"/>
        <v>397504</v>
      </c>
      <c r="Y39" s="3">
        <v>20022750</v>
      </c>
      <c r="AA39" s="3">
        <v>28228129</v>
      </c>
      <c r="AC39" s="3">
        <f>+K39-S39-AA39</f>
        <v>0</v>
      </c>
      <c r="AE39" s="3">
        <f t="shared" si="1"/>
        <v>0</v>
      </c>
    </row>
    <row r="40" spans="1:31" ht="12" customHeight="1">
      <c r="A40" s="3" t="s">
        <v>252</v>
      </c>
      <c r="C40" s="3" t="s">
        <v>193</v>
      </c>
      <c r="E40" s="12">
        <v>62109</v>
      </c>
      <c r="G40" s="3">
        <f t="shared" si="2"/>
        <v>15041617</v>
      </c>
      <c r="I40" s="3">
        <f>794096+7339822</f>
        <v>8133918</v>
      </c>
      <c r="K40" s="3">
        <v>23175535</v>
      </c>
      <c r="M40" s="3">
        <f t="shared" si="3"/>
        <v>7850622</v>
      </c>
      <c r="O40" s="3">
        <v>92982</v>
      </c>
      <c r="Q40" s="3">
        <v>1387973</v>
      </c>
      <c r="S40" s="3">
        <v>9331577</v>
      </c>
      <c r="U40" s="3">
        <v>8133918</v>
      </c>
      <c r="W40" s="3">
        <f t="shared" si="4"/>
        <v>251938</v>
      </c>
      <c r="Y40" s="3">
        <v>5458102</v>
      </c>
      <c r="AA40" s="3">
        <v>13843958</v>
      </c>
      <c r="AC40" s="3">
        <f>+K40-S40-AA40</f>
        <v>0</v>
      </c>
      <c r="AE40" s="3">
        <f>+G40+I40-M40-O40-U40-W40-Y40-Q40</f>
        <v>0</v>
      </c>
    </row>
    <row r="41" spans="1:31" ht="12" customHeight="1">
      <c r="A41" s="3" t="s">
        <v>295</v>
      </c>
      <c r="C41" s="3" t="s">
        <v>199</v>
      </c>
      <c r="E41" s="12">
        <v>51284</v>
      </c>
      <c r="G41" s="3">
        <f t="shared" si="2"/>
        <v>17102224</v>
      </c>
      <c r="I41" s="3">
        <f>440000+23226738</f>
        <v>23666738</v>
      </c>
      <c r="K41" s="3">
        <v>40768962</v>
      </c>
      <c r="M41" s="3">
        <f t="shared" si="3"/>
        <v>13031023</v>
      </c>
      <c r="O41" s="3">
        <v>455907</v>
      </c>
      <c r="Q41" s="3">
        <v>9758770</v>
      </c>
      <c r="S41" s="3">
        <v>23245700</v>
      </c>
      <c r="U41" s="3">
        <v>16894693</v>
      </c>
      <c r="W41" s="3">
        <f t="shared" si="4"/>
        <v>1217610</v>
      </c>
      <c r="Y41" s="3">
        <v>-589041</v>
      </c>
      <c r="AA41" s="3">
        <v>17523262</v>
      </c>
      <c r="AC41" s="3">
        <f t="shared" si="0"/>
        <v>0</v>
      </c>
      <c r="AE41" s="3">
        <f t="shared" si="1"/>
        <v>0</v>
      </c>
    </row>
    <row r="42" spans="1:31" ht="12" customHeight="1">
      <c r="A42" s="3" t="s">
        <v>296</v>
      </c>
      <c r="C42" s="3" t="s">
        <v>201</v>
      </c>
      <c r="E42" s="12">
        <v>51300</v>
      </c>
      <c r="G42" s="3">
        <f t="shared" si="2"/>
        <v>72589921</v>
      </c>
      <c r="I42" s="3">
        <f>4135531+932848</f>
        <v>5068379</v>
      </c>
      <c r="K42" s="3">
        <v>77658300</v>
      </c>
      <c r="M42" s="3">
        <f t="shared" si="3"/>
        <v>10502508</v>
      </c>
      <c r="O42" s="3">
        <v>1888016</v>
      </c>
      <c r="Q42" s="3">
        <v>20301365</v>
      </c>
      <c r="S42" s="3">
        <v>32691889</v>
      </c>
      <c r="U42" s="3">
        <v>5482202</v>
      </c>
      <c r="W42" s="3">
        <f t="shared" si="4"/>
        <v>25636633</v>
      </c>
      <c r="Y42" s="3">
        <v>13847576</v>
      </c>
      <c r="AA42" s="3">
        <v>44966411</v>
      </c>
      <c r="AC42" s="3">
        <f t="shared" si="0"/>
        <v>0</v>
      </c>
      <c r="AE42" s="3">
        <f t="shared" si="1"/>
        <v>0</v>
      </c>
    </row>
    <row r="43" spans="1:31" ht="12" customHeight="1">
      <c r="A43" s="3" t="s">
        <v>245</v>
      </c>
      <c r="C43" s="3" t="s">
        <v>188</v>
      </c>
      <c r="E43" s="12">
        <v>51334</v>
      </c>
      <c r="G43" s="3">
        <f t="shared" si="2"/>
        <v>14813099</v>
      </c>
      <c r="I43" s="3">
        <v>6791867</v>
      </c>
      <c r="K43" s="3">
        <v>21604966</v>
      </c>
      <c r="M43" s="3">
        <f t="shared" si="3"/>
        <v>5435102</v>
      </c>
      <c r="O43" s="3">
        <v>476682</v>
      </c>
      <c r="Q43" s="3">
        <f>2741403-476682</f>
        <v>2264721</v>
      </c>
      <c r="S43" s="3">
        <v>8176505</v>
      </c>
      <c r="U43" s="3">
        <v>5626618</v>
      </c>
      <c r="W43" s="3">
        <f t="shared" si="4"/>
        <v>876376</v>
      </c>
      <c r="Y43" s="3">
        <v>6925467</v>
      </c>
      <c r="AA43" s="3">
        <v>13428461</v>
      </c>
      <c r="AC43" s="3">
        <f t="shared" si="0"/>
        <v>0</v>
      </c>
      <c r="AE43" s="3">
        <f t="shared" si="1"/>
        <v>0</v>
      </c>
    </row>
    <row r="44" spans="1:31" ht="12" customHeight="1">
      <c r="A44" s="3" t="s">
        <v>297</v>
      </c>
      <c r="C44" s="3" t="s">
        <v>236</v>
      </c>
      <c r="E44" s="12">
        <v>51359</v>
      </c>
      <c r="G44" s="3">
        <f t="shared" si="2"/>
        <v>38864016</v>
      </c>
      <c r="I44" s="3">
        <v>92095449</v>
      </c>
      <c r="K44" s="3">
        <v>130959465</v>
      </c>
      <c r="M44" s="3">
        <f t="shared" si="3"/>
        <v>18281258</v>
      </c>
      <c r="O44" s="3">
        <v>2168819</v>
      </c>
      <c r="Q44" s="3">
        <v>59946779</v>
      </c>
      <c r="S44" s="3">
        <v>80396856</v>
      </c>
      <c r="U44" s="3">
        <v>32825110</v>
      </c>
      <c r="W44" s="3">
        <f t="shared" si="4"/>
        <v>14615839</v>
      </c>
      <c r="Y44" s="3">
        <v>3121660</v>
      </c>
      <c r="AA44" s="3">
        <v>50562609</v>
      </c>
      <c r="AC44" s="3">
        <f t="shared" si="0"/>
        <v>0</v>
      </c>
      <c r="AE44" s="3">
        <f t="shared" si="1"/>
        <v>0</v>
      </c>
    </row>
    <row r="45" spans="1:31" ht="12" customHeight="1">
      <c r="A45" s="3" t="s">
        <v>298</v>
      </c>
      <c r="C45" s="3" t="s">
        <v>214</v>
      </c>
      <c r="E45" s="12">
        <v>51433</v>
      </c>
      <c r="G45" s="3">
        <f t="shared" si="2"/>
        <v>15286278</v>
      </c>
      <c r="I45" s="3">
        <f>186368+21321036</f>
        <v>21507404</v>
      </c>
      <c r="K45" s="3">
        <v>36793682</v>
      </c>
      <c r="M45" s="3">
        <f t="shared" si="3"/>
        <v>5600135</v>
      </c>
      <c r="O45" s="3">
        <v>444270</v>
      </c>
      <c r="Q45" s="3">
        <v>4405996</v>
      </c>
      <c r="S45" s="3">
        <v>10450401</v>
      </c>
      <c r="U45" s="3">
        <v>18232768</v>
      </c>
      <c r="W45" s="3">
        <f t="shared" si="4"/>
        <v>2944510</v>
      </c>
      <c r="Y45" s="3">
        <v>5166003</v>
      </c>
      <c r="AA45" s="3">
        <v>26343281</v>
      </c>
      <c r="AC45" s="3">
        <f t="shared" si="0"/>
        <v>0</v>
      </c>
      <c r="AE45" s="3">
        <f t="shared" si="1"/>
        <v>0</v>
      </c>
    </row>
    <row r="46" spans="1:31" ht="12" customHeight="1">
      <c r="A46" s="3" t="s">
        <v>299</v>
      </c>
      <c r="C46" s="3" t="s">
        <v>254</v>
      </c>
      <c r="E46" s="12">
        <v>51375</v>
      </c>
      <c r="G46" s="3">
        <f t="shared" si="2"/>
        <v>6573328</v>
      </c>
      <c r="I46" s="3">
        <f>152681+18682530</f>
        <v>18835211</v>
      </c>
      <c r="K46" s="3">
        <v>25408539</v>
      </c>
      <c r="M46" s="3">
        <f t="shared" si="3"/>
        <v>1579299</v>
      </c>
      <c r="O46" s="3">
        <v>207795</v>
      </c>
      <c r="Q46" s="3">
        <v>3648186</v>
      </c>
      <c r="S46" s="3">
        <v>5435280</v>
      </c>
      <c r="U46" s="3">
        <v>15432779</v>
      </c>
      <c r="W46" s="3">
        <f t="shared" si="4"/>
        <v>891802</v>
      </c>
      <c r="Y46" s="3">
        <v>3648678</v>
      </c>
      <c r="AA46" s="3">
        <v>19973259</v>
      </c>
      <c r="AC46" s="3">
        <f t="shared" si="0"/>
        <v>0</v>
      </c>
      <c r="AE46" s="3">
        <f t="shared" si="1"/>
        <v>0</v>
      </c>
    </row>
    <row r="47" spans="1:31" ht="12" customHeight="1">
      <c r="A47" s="3" t="s">
        <v>300</v>
      </c>
      <c r="C47" s="3" t="s">
        <v>212</v>
      </c>
      <c r="E47" s="12">
        <v>51417</v>
      </c>
      <c r="G47" s="3">
        <f t="shared" si="2"/>
        <v>51531075</v>
      </c>
      <c r="I47" s="3">
        <v>10458410</v>
      </c>
      <c r="K47" s="3">
        <v>61989485</v>
      </c>
      <c r="M47" s="3">
        <f t="shared" si="3"/>
        <v>6956379</v>
      </c>
      <c r="O47" s="3">
        <v>728657</v>
      </c>
      <c r="Q47" s="3">
        <v>12812020</v>
      </c>
      <c r="S47" s="3">
        <v>20497056</v>
      </c>
      <c r="U47" s="3">
        <v>3866661</v>
      </c>
      <c r="W47" s="3">
        <f t="shared" si="4"/>
        <v>27212017</v>
      </c>
      <c r="Y47" s="3">
        <v>10413751</v>
      </c>
      <c r="AA47" s="3">
        <v>41492429</v>
      </c>
      <c r="AC47" s="3">
        <f t="shared" si="0"/>
        <v>0</v>
      </c>
      <c r="AE47" s="3">
        <f t="shared" si="1"/>
        <v>0</v>
      </c>
    </row>
    <row r="48" spans="1:31" ht="12" customHeight="1">
      <c r="A48" s="3" t="s">
        <v>301</v>
      </c>
      <c r="C48" s="3" t="s">
        <v>167</v>
      </c>
      <c r="E48" s="12">
        <v>50948</v>
      </c>
      <c r="G48" s="3">
        <f t="shared" si="2"/>
        <v>17978578</v>
      </c>
      <c r="I48" s="3">
        <f>1756803+5586730</f>
        <v>7343533</v>
      </c>
      <c r="K48" s="3">
        <v>25322111</v>
      </c>
      <c r="M48" s="3">
        <f t="shared" si="3"/>
        <v>8997341</v>
      </c>
      <c r="O48" s="3">
        <v>778252</v>
      </c>
      <c r="Q48" s="3">
        <v>805440</v>
      </c>
      <c r="S48" s="3">
        <v>10581033</v>
      </c>
      <c r="U48" s="3">
        <v>7343533</v>
      </c>
      <c r="W48" s="3">
        <f t="shared" si="4"/>
        <v>837942</v>
      </c>
      <c r="Y48" s="3">
        <v>6559603</v>
      </c>
      <c r="AA48" s="3">
        <v>14741078</v>
      </c>
      <c r="AC48" s="3">
        <f t="shared" si="0"/>
        <v>0</v>
      </c>
      <c r="AE48" s="3">
        <f t="shared" si="1"/>
        <v>0</v>
      </c>
    </row>
    <row r="49" spans="1:31" ht="12" customHeight="1">
      <c r="A49" s="3" t="s">
        <v>302</v>
      </c>
      <c r="C49" s="3" t="s">
        <v>223</v>
      </c>
      <c r="E49" s="12">
        <v>63495</v>
      </c>
      <c r="G49" s="3">
        <f t="shared" si="2"/>
        <v>16328588</v>
      </c>
      <c r="I49" s="3">
        <f>2149659+1264056</f>
        <v>3413715</v>
      </c>
      <c r="K49" s="3">
        <v>19742303</v>
      </c>
      <c r="M49" s="3">
        <f t="shared" si="3"/>
        <v>3849417</v>
      </c>
      <c r="O49" s="3">
        <v>92122</v>
      </c>
      <c r="Q49" s="3">
        <v>671440</v>
      </c>
      <c r="S49" s="3">
        <v>4612979</v>
      </c>
      <c r="U49" s="3">
        <v>3113713</v>
      </c>
      <c r="W49" s="3">
        <f t="shared" si="4"/>
        <v>2335913</v>
      </c>
      <c r="Y49" s="3">
        <v>9679698</v>
      </c>
      <c r="AA49" s="3">
        <v>15129324</v>
      </c>
      <c r="AC49" s="3">
        <f t="shared" si="0"/>
        <v>0</v>
      </c>
      <c r="AE49" s="3">
        <f t="shared" si="1"/>
        <v>0</v>
      </c>
    </row>
    <row r="50" spans="1:31" ht="12" customHeight="1">
      <c r="A50" s="3" t="s">
        <v>303</v>
      </c>
      <c r="C50" s="3" t="s">
        <v>217</v>
      </c>
      <c r="E50" s="12">
        <v>51490</v>
      </c>
      <c r="G50" s="3">
        <f t="shared" si="2"/>
        <v>9455363</v>
      </c>
      <c r="I50" s="3">
        <f>33852+22654787</f>
        <v>22688639</v>
      </c>
      <c r="K50" s="3">
        <v>32144002</v>
      </c>
      <c r="M50" s="3">
        <f t="shared" si="3"/>
        <v>3193960</v>
      </c>
      <c r="O50" s="3">
        <v>153173</v>
      </c>
      <c r="Q50" s="3">
        <v>3689518</v>
      </c>
      <c r="S50" s="3">
        <v>7036651</v>
      </c>
      <c r="U50" s="3">
        <v>19407239</v>
      </c>
      <c r="W50" s="3">
        <f t="shared" si="4"/>
        <v>3397839</v>
      </c>
      <c r="Y50" s="3">
        <v>2302273</v>
      </c>
      <c r="AA50" s="3">
        <v>25107351</v>
      </c>
      <c r="AC50" s="3">
        <f t="shared" si="0"/>
        <v>0</v>
      </c>
      <c r="AE50" s="3">
        <f t="shared" si="1"/>
        <v>0</v>
      </c>
    </row>
    <row r="51" spans="1:31" ht="12" customHeight="1">
      <c r="A51" s="3" t="s">
        <v>238</v>
      </c>
      <c r="C51" s="3" t="s">
        <v>158</v>
      </c>
      <c r="E51" s="12">
        <v>50799</v>
      </c>
      <c r="G51" s="3">
        <f t="shared" si="2"/>
        <v>10887159</v>
      </c>
      <c r="I51" s="3">
        <f>339053+13120835</f>
        <v>13459888</v>
      </c>
      <c r="K51" s="3">
        <v>24347047</v>
      </c>
      <c r="M51" s="3">
        <f t="shared" si="3"/>
        <v>2609887</v>
      </c>
      <c r="O51" s="3">
        <v>228711</v>
      </c>
      <c r="Q51" s="3">
        <v>3694552</v>
      </c>
      <c r="S51" s="3">
        <v>6533150</v>
      </c>
      <c r="U51" s="3">
        <v>11273914</v>
      </c>
      <c r="W51" s="3">
        <f>AA51-Y51-U51</f>
        <v>4053323</v>
      </c>
      <c r="Y51" s="3">
        <v>2486660</v>
      </c>
      <c r="AA51" s="3">
        <v>17813897</v>
      </c>
      <c r="AC51" s="3">
        <f t="shared" si="0"/>
        <v>0</v>
      </c>
      <c r="AE51" s="3">
        <f t="shared" si="1"/>
        <v>0</v>
      </c>
    </row>
    <row r="52" spans="1:31" ht="12" customHeight="1">
      <c r="A52" s="3" t="s">
        <v>336</v>
      </c>
      <c r="C52" s="3" t="s">
        <v>161</v>
      </c>
      <c r="E52" s="12">
        <v>51532</v>
      </c>
      <c r="G52" s="3">
        <f t="shared" si="2"/>
        <v>12995716</v>
      </c>
      <c r="I52" s="3">
        <f>647488+4119016</f>
        <v>4766504</v>
      </c>
      <c r="K52" s="3">
        <v>17762220</v>
      </c>
      <c r="M52" s="3">
        <f t="shared" si="3"/>
        <v>4692696</v>
      </c>
      <c r="O52" s="3">
        <v>554438</v>
      </c>
      <c r="Q52" s="3">
        <v>3729472</v>
      </c>
      <c r="S52" s="3">
        <v>8976606</v>
      </c>
      <c r="U52" s="3">
        <v>1120520</v>
      </c>
      <c r="W52" s="3">
        <f t="shared" si="4"/>
        <v>344354</v>
      </c>
      <c r="Y52" s="3">
        <v>7320740</v>
      </c>
      <c r="AA52" s="3">
        <v>8785614</v>
      </c>
      <c r="AC52" s="3">
        <f>+K52-S52-AA52</f>
        <v>0</v>
      </c>
      <c r="AE52" s="3">
        <f>+G52+I52-M52-O52-U52-W52-Y52-Q52</f>
        <v>0</v>
      </c>
    </row>
    <row r="53" spans="1:31" ht="12" customHeight="1">
      <c r="A53" s="3" t="s">
        <v>255</v>
      </c>
      <c r="C53" s="3" t="s">
        <v>221</v>
      </c>
      <c r="E53" s="12">
        <v>62026</v>
      </c>
      <c r="G53" s="3">
        <f t="shared" si="2"/>
        <v>12814327</v>
      </c>
      <c r="I53" s="3">
        <v>5891717</v>
      </c>
      <c r="K53" s="3">
        <v>18706044</v>
      </c>
      <c r="M53" s="3">
        <f t="shared" si="3"/>
        <v>2905671</v>
      </c>
      <c r="O53" s="3">
        <v>180858</v>
      </c>
      <c r="Q53" s="3">
        <v>769494</v>
      </c>
      <c r="S53" s="3">
        <v>3856023</v>
      </c>
      <c r="U53" s="3">
        <v>5891717</v>
      </c>
      <c r="W53" s="3">
        <f t="shared" si="4"/>
        <v>108883</v>
      </c>
      <c r="Y53" s="3">
        <v>8849421</v>
      </c>
      <c r="AA53" s="3">
        <v>14850021</v>
      </c>
      <c r="AC53" s="3">
        <f>+K53-S53-AA53</f>
        <v>0</v>
      </c>
      <c r="AE53" s="3">
        <f>+G53+I53-M53-O53-U53-W53-Y53-Q53</f>
        <v>0</v>
      </c>
    </row>
    <row r="54" spans="1:31" ht="12" customHeight="1">
      <c r="A54" s="3" t="s">
        <v>341</v>
      </c>
      <c r="B54" s="16"/>
      <c r="C54" s="16" t="s">
        <v>248</v>
      </c>
      <c r="G54" s="3">
        <f t="shared" si="2"/>
        <v>14291526</v>
      </c>
      <c r="I54" s="3">
        <f>150000+17858413</f>
        <v>18008413</v>
      </c>
      <c r="K54" s="3">
        <v>32299939</v>
      </c>
      <c r="M54" s="3">
        <f t="shared" si="3"/>
        <v>6082979</v>
      </c>
      <c r="O54" s="3">
        <v>766987</v>
      </c>
      <c r="Q54" s="3">
        <v>5526970</v>
      </c>
      <c r="S54" s="3">
        <v>12376936</v>
      </c>
      <c r="U54" s="3">
        <v>12508307</v>
      </c>
      <c r="W54" s="3">
        <f t="shared" si="4"/>
        <v>126790</v>
      </c>
      <c r="Y54" s="3">
        <v>7287906</v>
      </c>
      <c r="AA54" s="3">
        <v>19923003</v>
      </c>
      <c r="AC54" s="3">
        <f t="shared" ref="AC54:AC55" si="5">+K54-S54-AA54</f>
        <v>0</v>
      </c>
      <c r="AE54" s="3">
        <f t="shared" ref="AE54:AE55" si="6">+G54+I54-M54-O54-U54-W54-Y54-Q54</f>
        <v>0</v>
      </c>
    </row>
    <row r="55" spans="1:31" ht="12" customHeight="1">
      <c r="A55" s="3" t="s">
        <v>388</v>
      </c>
      <c r="C55" s="3" t="s">
        <v>153</v>
      </c>
      <c r="E55" s="12">
        <v>51607</v>
      </c>
      <c r="G55" s="3">
        <f t="shared" si="2"/>
        <v>7125238</v>
      </c>
      <c r="I55" s="3">
        <f>26308+1729409</f>
        <v>1755717</v>
      </c>
      <c r="K55" s="3">
        <v>8880955</v>
      </c>
      <c r="M55" s="3">
        <f t="shared" si="3"/>
        <v>3914644</v>
      </c>
      <c r="O55" s="3">
        <v>84299</v>
      </c>
      <c r="Q55" s="3">
        <v>714466</v>
      </c>
      <c r="S55" s="3">
        <v>4713409</v>
      </c>
      <c r="U55" s="3">
        <v>1755717</v>
      </c>
      <c r="W55" s="3">
        <f t="shared" si="4"/>
        <v>503775</v>
      </c>
      <c r="Y55" s="3">
        <v>1908054</v>
      </c>
      <c r="AA55" s="3">
        <v>4167546</v>
      </c>
      <c r="AC55" s="3">
        <f t="shared" si="5"/>
        <v>0</v>
      </c>
      <c r="AE55" s="3">
        <f t="shared" si="6"/>
        <v>0</v>
      </c>
    </row>
    <row r="56" spans="1:31" ht="12" customHeight="1">
      <c r="A56" s="3" t="s">
        <v>250</v>
      </c>
      <c r="C56" s="3" t="s">
        <v>251</v>
      </c>
      <c r="E56" s="12">
        <v>65268</v>
      </c>
      <c r="G56" s="3">
        <f t="shared" si="2"/>
        <v>7074221</v>
      </c>
      <c r="I56" s="3">
        <f>302625+5941374</f>
        <v>6243999</v>
      </c>
      <c r="K56" s="3">
        <v>13318220</v>
      </c>
      <c r="M56" s="3">
        <f t="shared" si="3"/>
        <v>3320035</v>
      </c>
      <c r="O56" s="3">
        <v>109608</v>
      </c>
      <c r="Q56" s="3">
        <v>302881</v>
      </c>
      <c r="S56" s="3">
        <v>3732524</v>
      </c>
      <c r="U56" s="3">
        <v>6098684</v>
      </c>
      <c r="W56" s="3">
        <f t="shared" si="4"/>
        <v>32392</v>
      </c>
      <c r="Y56" s="3">
        <v>3454620</v>
      </c>
      <c r="AA56" s="3">
        <v>9585696</v>
      </c>
      <c r="AC56" s="3">
        <f t="shared" si="0"/>
        <v>0</v>
      </c>
      <c r="AE56" s="3">
        <f t="shared" si="1"/>
        <v>0</v>
      </c>
    </row>
    <row r="57" spans="1:31" ht="12" customHeight="1">
      <c r="A57" s="3" t="s">
        <v>304</v>
      </c>
      <c r="C57" s="3" t="s">
        <v>225</v>
      </c>
      <c r="E57" s="12">
        <v>51631</v>
      </c>
      <c r="G57" s="3">
        <f t="shared" si="2"/>
        <v>17894929</v>
      </c>
      <c r="I57" s="3">
        <v>9297567</v>
      </c>
      <c r="K57" s="3">
        <v>27192496</v>
      </c>
      <c r="M57" s="3">
        <f t="shared" si="3"/>
        <v>6511179</v>
      </c>
      <c r="O57" s="3">
        <v>532141</v>
      </c>
      <c r="Q57" s="3">
        <v>6990452</v>
      </c>
      <c r="S57" s="3">
        <v>14033772</v>
      </c>
      <c r="U57" s="3">
        <v>3553567</v>
      </c>
      <c r="W57" s="3">
        <f t="shared" si="4"/>
        <v>860818</v>
      </c>
      <c r="Y57" s="3">
        <v>8744339</v>
      </c>
      <c r="AA57" s="3">
        <v>13158724</v>
      </c>
      <c r="AC57" s="3">
        <f t="shared" si="0"/>
        <v>0</v>
      </c>
      <c r="AE57" s="3">
        <f t="shared" si="1"/>
        <v>0</v>
      </c>
    </row>
    <row r="58" spans="1:31" ht="12" customHeight="1">
      <c r="A58" s="3" t="s">
        <v>239</v>
      </c>
      <c r="C58" s="3" t="s">
        <v>163</v>
      </c>
      <c r="E58" s="12">
        <v>62802</v>
      </c>
      <c r="G58" s="3">
        <f t="shared" si="2"/>
        <v>12420359</v>
      </c>
      <c r="I58" s="3">
        <f>100000+2073140</f>
        <v>2173140</v>
      </c>
      <c r="K58" s="3">
        <v>14593499</v>
      </c>
      <c r="M58" s="3">
        <f t="shared" si="3"/>
        <v>3526068</v>
      </c>
      <c r="O58" s="3">
        <v>141906</v>
      </c>
      <c r="Q58" s="3">
        <v>530847</v>
      </c>
      <c r="S58" s="3">
        <v>4198821</v>
      </c>
      <c r="U58" s="3">
        <v>2173140</v>
      </c>
      <c r="W58" s="3">
        <f t="shared" si="4"/>
        <v>877707</v>
      </c>
      <c r="Y58" s="3">
        <v>7343831</v>
      </c>
      <c r="AA58" s="3">
        <v>10394678</v>
      </c>
      <c r="AC58" s="3">
        <f t="shared" si="0"/>
        <v>0</v>
      </c>
      <c r="AE58" s="3">
        <f t="shared" si="1"/>
        <v>0</v>
      </c>
    </row>
    <row r="59" spans="1:31" ht="12" customHeight="1">
      <c r="A59" s="3" t="s">
        <v>253</v>
      </c>
      <c r="C59" s="3" t="s">
        <v>197</v>
      </c>
      <c r="E59" s="12">
        <v>62125</v>
      </c>
      <c r="G59" s="3">
        <f t="shared" si="2"/>
        <v>39251037</v>
      </c>
      <c r="I59" s="3">
        <f>1622550+12417077</f>
        <v>14039627</v>
      </c>
      <c r="K59" s="3">
        <v>53290664</v>
      </c>
      <c r="M59" s="3">
        <f t="shared" si="3"/>
        <v>7741560</v>
      </c>
      <c r="O59" s="3">
        <v>796610</v>
      </c>
      <c r="Q59" s="3">
        <v>8001537</v>
      </c>
      <c r="S59" s="3">
        <v>16539707</v>
      </c>
      <c r="U59" s="3">
        <v>13681301</v>
      </c>
      <c r="W59" s="3">
        <f t="shared" si="4"/>
        <v>20133307</v>
      </c>
      <c r="Y59" s="3">
        <v>2936349</v>
      </c>
      <c r="AA59" s="3">
        <v>36750957</v>
      </c>
      <c r="AC59" s="3">
        <f t="shared" si="0"/>
        <v>0</v>
      </c>
      <c r="AE59" s="3">
        <f t="shared" si="1"/>
        <v>0</v>
      </c>
    </row>
    <row r="60" spans="1:31" ht="12" customHeight="1">
      <c r="A60" s="3" t="s">
        <v>305</v>
      </c>
      <c r="C60" s="3" t="s">
        <v>216</v>
      </c>
      <c r="E60" s="12">
        <v>51458</v>
      </c>
      <c r="G60" s="3">
        <f t="shared" si="2"/>
        <v>46215491</v>
      </c>
      <c r="I60" s="3">
        <f>795737+566423+8130539</f>
        <v>9492699</v>
      </c>
      <c r="K60" s="3">
        <v>55708190</v>
      </c>
      <c r="M60" s="3">
        <f t="shared" si="3"/>
        <v>4259110</v>
      </c>
      <c r="O60" s="3">
        <v>455282</v>
      </c>
      <c r="Q60" s="3">
        <v>6371598</v>
      </c>
      <c r="S60" s="3">
        <v>11085990</v>
      </c>
      <c r="U60" s="3">
        <v>9351407</v>
      </c>
      <c r="W60" s="3">
        <f t="shared" si="4"/>
        <v>27198550</v>
      </c>
      <c r="Y60" s="3">
        <v>8072243</v>
      </c>
      <c r="AA60" s="3">
        <v>44622200</v>
      </c>
      <c r="AC60" s="3">
        <f>+K60-S60-AA60</f>
        <v>0</v>
      </c>
      <c r="AE60" s="3">
        <f t="shared" si="1"/>
        <v>0</v>
      </c>
    </row>
    <row r="61" spans="1:31" ht="12" customHeight="1">
      <c r="A61" s="3" t="s">
        <v>306</v>
      </c>
      <c r="C61" s="3" t="s">
        <v>229</v>
      </c>
      <c r="E61" s="12">
        <v>51672</v>
      </c>
      <c r="G61" s="3">
        <f t="shared" si="2"/>
        <v>41197848</v>
      </c>
      <c r="I61" s="3">
        <v>4209338</v>
      </c>
      <c r="K61" s="3">
        <v>45407186</v>
      </c>
      <c r="M61" s="3">
        <f t="shared" si="3"/>
        <v>5112209</v>
      </c>
      <c r="O61" s="3">
        <v>12548945</v>
      </c>
      <c r="Q61" s="3">
        <v>539162</v>
      </c>
      <c r="S61" s="3">
        <v>18200316</v>
      </c>
      <c r="U61" s="3">
        <v>3670908</v>
      </c>
      <c r="W61" s="3">
        <f t="shared" si="4"/>
        <v>17898161</v>
      </c>
      <c r="Y61" s="3">
        <v>5637801</v>
      </c>
      <c r="AA61" s="3">
        <v>27206870</v>
      </c>
      <c r="AC61" s="3">
        <f t="shared" si="0"/>
        <v>0</v>
      </c>
      <c r="AE61" s="3">
        <f t="shared" si="1"/>
        <v>0</v>
      </c>
    </row>
    <row r="62" spans="1:31" ht="12" customHeight="1">
      <c r="A62" s="3" t="s">
        <v>257</v>
      </c>
      <c r="C62" s="3" t="s">
        <v>231</v>
      </c>
      <c r="E62" s="12">
        <v>51474</v>
      </c>
      <c r="G62" s="3">
        <f t="shared" si="2"/>
        <v>22242425</v>
      </c>
      <c r="I62" s="3">
        <f>837757+11496412</f>
        <v>12334169</v>
      </c>
      <c r="K62" s="3">
        <v>34576594</v>
      </c>
      <c r="M62" s="3">
        <f t="shared" si="3"/>
        <v>9674705</v>
      </c>
      <c r="O62" s="3">
        <v>717427</v>
      </c>
      <c r="Q62" s="3">
        <v>6565101</v>
      </c>
      <c r="S62" s="3">
        <v>16957233</v>
      </c>
      <c r="U62" s="3">
        <v>5580285</v>
      </c>
      <c r="W62" s="3">
        <f t="shared" si="4"/>
        <v>950718</v>
      </c>
      <c r="Y62" s="3">
        <v>11088358</v>
      </c>
      <c r="AA62" s="3">
        <v>17619361</v>
      </c>
      <c r="AC62" s="3">
        <f t="shared" si="0"/>
        <v>0</v>
      </c>
      <c r="AE62" s="3">
        <f t="shared" si="1"/>
        <v>0</v>
      </c>
    </row>
    <row r="63" spans="1:31" ht="12" customHeight="1">
      <c r="A63" s="3" t="s">
        <v>325</v>
      </c>
      <c r="C63" s="3" t="s">
        <v>232</v>
      </c>
      <c r="E63" s="12">
        <v>51698</v>
      </c>
      <c r="G63" s="3">
        <f t="shared" si="2"/>
        <v>6540507</v>
      </c>
      <c r="I63" s="3">
        <f>48000+8546320</f>
        <v>8594320</v>
      </c>
      <c r="K63" s="3">
        <v>15134827</v>
      </c>
      <c r="M63" s="3">
        <f t="shared" si="3"/>
        <v>2706172</v>
      </c>
      <c r="O63" s="3">
        <v>119335</v>
      </c>
      <c r="Q63" s="3">
        <v>3021346</v>
      </c>
      <c r="S63" s="3">
        <v>5846853</v>
      </c>
      <c r="U63" s="3">
        <v>6036223</v>
      </c>
      <c r="W63" s="3">
        <f t="shared" si="4"/>
        <v>374230</v>
      </c>
      <c r="Y63" s="3">
        <v>2877521</v>
      </c>
      <c r="AA63" s="3">
        <v>9287974</v>
      </c>
      <c r="AC63" s="3">
        <f>+K63-S63-AA63</f>
        <v>0</v>
      </c>
      <c r="AE63" s="3">
        <f t="shared" si="1"/>
        <v>0</v>
      </c>
    </row>
    <row r="64" spans="1:31" ht="12" customHeight="1">
      <c r="A64" s="3" t="s">
        <v>307</v>
      </c>
      <c r="C64" s="3" t="s">
        <v>234</v>
      </c>
      <c r="E64" s="12">
        <v>51714</v>
      </c>
      <c r="G64" s="3">
        <f t="shared" si="2"/>
        <v>30887785</v>
      </c>
      <c r="I64" s="3">
        <f>15384863+3373521</f>
        <v>18758384</v>
      </c>
      <c r="K64" s="3">
        <v>49646169</v>
      </c>
      <c r="M64" s="3">
        <f t="shared" si="3"/>
        <v>8283246</v>
      </c>
      <c r="O64" s="3">
        <v>969977</v>
      </c>
      <c r="Q64" s="3">
        <v>8051770</v>
      </c>
      <c r="S64" s="3">
        <v>17304993</v>
      </c>
      <c r="U64" s="3">
        <v>16034923</v>
      </c>
      <c r="W64" s="3">
        <f t="shared" si="4"/>
        <v>11366109</v>
      </c>
      <c r="Y64" s="3">
        <v>4940144</v>
      </c>
      <c r="AA64" s="3">
        <v>32341176</v>
      </c>
      <c r="AC64" s="3">
        <f t="shared" si="0"/>
        <v>0</v>
      </c>
      <c r="AE64" s="3">
        <f t="shared" si="1"/>
        <v>0</v>
      </c>
    </row>
    <row r="65" spans="1:31" ht="12" customHeight="1"/>
    <row r="66" spans="1:31" ht="12" customHeight="1">
      <c r="AA66" s="17" t="s">
        <v>310</v>
      </c>
    </row>
    <row r="67" spans="1:31" ht="12" customHeight="1">
      <c r="A67" s="13" t="s">
        <v>309</v>
      </c>
    </row>
    <row r="68" spans="1:31" ht="12" customHeight="1">
      <c r="A68" s="13"/>
    </row>
    <row r="69" spans="1:31" ht="12" hidden="1" customHeight="1">
      <c r="A69" s="3" t="s">
        <v>345</v>
      </c>
      <c r="C69" s="3" t="s">
        <v>321</v>
      </c>
      <c r="E69" s="12">
        <v>45849</v>
      </c>
      <c r="G69" s="3">
        <f t="shared" si="2"/>
        <v>0</v>
      </c>
      <c r="M69" s="3">
        <f t="shared" si="3"/>
        <v>0</v>
      </c>
      <c r="W69" s="3">
        <f t="shared" si="4"/>
        <v>0</v>
      </c>
      <c r="AC69" s="34">
        <f>+K69-S69-AA69</f>
        <v>0</v>
      </c>
      <c r="AD69" s="34"/>
      <c r="AE69" s="34">
        <f t="shared" ref="AE69:AE117" si="7">+G69+I69-M69-O69-U69-W69-Y69-Q69</f>
        <v>0</v>
      </c>
    </row>
    <row r="70" spans="1:31" ht="12" hidden="1" customHeight="1">
      <c r="A70" s="3" t="s">
        <v>346</v>
      </c>
      <c r="C70" s="3" t="s">
        <v>152</v>
      </c>
      <c r="G70" s="3">
        <f t="shared" si="2"/>
        <v>0</v>
      </c>
      <c r="M70" s="3">
        <f>+S70-O70-Q70</f>
        <v>0</v>
      </c>
      <c r="W70" s="3">
        <f t="shared" si="4"/>
        <v>0</v>
      </c>
      <c r="AC70" s="3">
        <f>+K70-S70-AA70</f>
        <v>0</v>
      </c>
      <c r="AE70" s="3">
        <f>+G70+I70-M70-O70-U70-W70-Y70-Q70</f>
        <v>0</v>
      </c>
    </row>
    <row r="71" spans="1:31" ht="12" customHeight="1">
      <c r="A71" s="3" t="s">
        <v>156</v>
      </c>
      <c r="C71" s="3" t="s">
        <v>153</v>
      </c>
      <c r="E71" s="12">
        <v>135145</v>
      </c>
      <c r="G71" s="34">
        <f t="shared" si="2"/>
        <v>1222271</v>
      </c>
      <c r="H71" s="34"/>
      <c r="I71" s="34">
        <v>2639110</v>
      </c>
      <c r="J71" s="34"/>
      <c r="K71" s="34">
        <v>3861381</v>
      </c>
      <c r="L71" s="34"/>
      <c r="M71" s="34">
        <f t="shared" si="3"/>
        <v>831250</v>
      </c>
      <c r="N71" s="34"/>
      <c r="O71" s="34">
        <v>12439</v>
      </c>
      <c r="P71" s="34"/>
      <c r="Q71" s="34">
        <f>123166-12439</f>
        <v>110727</v>
      </c>
      <c r="R71" s="34"/>
      <c r="S71" s="34">
        <v>954416</v>
      </c>
      <c r="T71" s="34"/>
      <c r="U71" s="34">
        <v>2639110</v>
      </c>
      <c r="V71" s="34"/>
      <c r="W71" s="34">
        <f t="shared" si="4"/>
        <v>446952</v>
      </c>
      <c r="X71" s="34"/>
      <c r="Y71" s="34">
        <v>-179097</v>
      </c>
      <c r="Z71" s="34"/>
      <c r="AA71" s="34">
        <v>2906965</v>
      </c>
      <c r="AC71" s="3">
        <f t="shared" ref="AC71:AC110" si="8">+K71-S71-AA71</f>
        <v>0</v>
      </c>
      <c r="AE71" s="3">
        <f t="shared" si="7"/>
        <v>0</v>
      </c>
    </row>
    <row r="72" spans="1:31" ht="12" hidden="1" customHeight="1">
      <c r="A72" s="3" t="s">
        <v>362</v>
      </c>
      <c r="C72" s="3" t="s">
        <v>322</v>
      </c>
      <c r="G72" s="3">
        <f>+K72-I72</f>
        <v>0</v>
      </c>
      <c r="M72" s="3">
        <f>+S72-O72-Q72</f>
        <v>0</v>
      </c>
      <c r="W72" s="3">
        <f t="shared" si="4"/>
        <v>0</v>
      </c>
      <c r="AC72" s="3">
        <f>+K72-S72-AA72</f>
        <v>0</v>
      </c>
      <c r="AE72" s="3">
        <f>+G72+I72-M72-O72-U72-W72-Y72-Q72</f>
        <v>0</v>
      </c>
    </row>
    <row r="73" spans="1:31" ht="12" customHeight="1">
      <c r="A73" s="16" t="s">
        <v>365</v>
      </c>
      <c r="C73" s="3" t="s">
        <v>158</v>
      </c>
      <c r="E73" s="12">
        <v>46029</v>
      </c>
      <c r="G73" s="3">
        <f t="shared" si="2"/>
        <v>2383407</v>
      </c>
      <c r="I73" s="3">
        <v>39148</v>
      </c>
      <c r="K73" s="3">
        <v>2422555</v>
      </c>
      <c r="M73" s="3">
        <f t="shared" si="3"/>
        <v>432328</v>
      </c>
      <c r="O73" s="3">
        <v>60316</v>
      </c>
      <c r="Q73" s="3">
        <f>282382-60316</f>
        <v>222066</v>
      </c>
      <c r="S73" s="3">
        <v>714710</v>
      </c>
      <c r="U73" s="3">
        <v>39148</v>
      </c>
      <c r="W73" s="3">
        <f t="shared" si="4"/>
        <v>26557</v>
      </c>
      <c r="Y73" s="3">
        <v>1642140</v>
      </c>
      <c r="AA73" s="3">
        <v>1707845</v>
      </c>
      <c r="AC73" s="3">
        <f t="shared" si="8"/>
        <v>0</v>
      </c>
      <c r="AE73" s="3">
        <f t="shared" si="7"/>
        <v>0</v>
      </c>
    </row>
    <row r="74" spans="1:31" ht="12" customHeight="1">
      <c r="A74" s="16" t="s">
        <v>364</v>
      </c>
      <c r="C74" s="3" t="s">
        <v>155</v>
      </c>
      <c r="E74" s="12">
        <v>46086</v>
      </c>
      <c r="G74" s="3">
        <f t="shared" si="2"/>
        <v>6526401</v>
      </c>
      <c r="I74" s="3">
        <v>2720940</v>
      </c>
      <c r="K74" s="3">
        <v>9247341</v>
      </c>
      <c r="M74" s="3">
        <f t="shared" si="3"/>
        <v>1864223</v>
      </c>
      <c r="O74" s="3">
        <v>126234</v>
      </c>
      <c r="Q74" s="3">
        <f>3243759-126234</f>
        <v>3117525</v>
      </c>
      <c r="S74" s="3">
        <v>5107982</v>
      </c>
      <c r="U74" s="3">
        <v>883618</v>
      </c>
      <c r="W74" s="3">
        <f t="shared" si="4"/>
        <v>3060468</v>
      </c>
      <c r="Y74" s="3">
        <v>195273</v>
      </c>
      <c r="AA74" s="3">
        <v>4139359</v>
      </c>
      <c r="AC74" s="3">
        <f t="shared" si="8"/>
        <v>0</v>
      </c>
      <c r="AE74" s="3">
        <f t="shared" si="7"/>
        <v>0</v>
      </c>
    </row>
    <row r="75" spans="1:31" ht="12" customHeight="1">
      <c r="A75" s="16" t="s">
        <v>366</v>
      </c>
      <c r="C75" s="3" t="s">
        <v>161</v>
      </c>
      <c r="E75" s="12">
        <v>46227</v>
      </c>
      <c r="G75" s="3">
        <f t="shared" si="2"/>
        <v>2324726</v>
      </c>
      <c r="I75" s="3">
        <v>506187</v>
      </c>
      <c r="K75" s="3">
        <v>2830913</v>
      </c>
      <c r="M75" s="3">
        <f t="shared" si="3"/>
        <v>776667</v>
      </c>
      <c r="O75" s="3">
        <v>87347</v>
      </c>
      <c r="Q75" s="3">
        <f>353609-87347</f>
        <v>266262</v>
      </c>
      <c r="S75" s="3">
        <v>1130276</v>
      </c>
      <c r="U75" s="3">
        <v>259035</v>
      </c>
      <c r="W75" s="3">
        <f t="shared" si="4"/>
        <v>626987</v>
      </c>
      <c r="Y75" s="3">
        <v>814615</v>
      </c>
      <c r="AA75" s="3">
        <v>1700637</v>
      </c>
      <c r="AC75" s="3">
        <f t="shared" si="8"/>
        <v>0</v>
      </c>
      <c r="AE75" s="3">
        <f t="shared" si="7"/>
        <v>0</v>
      </c>
    </row>
    <row r="76" spans="1:31" ht="12" customHeight="1">
      <c r="A76" s="3" t="s">
        <v>162</v>
      </c>
      <c r="C76" s="3" t="s">
        <v>163</v>
      </c>
      <c r="E76" s="12">
        <v>46292</v>
      </c>
      <c r="G76" s="3">
        <f t="shared" si="2"/>
        <v>6796317</v>
      </c>
      <c r="I76" s="3">
        <v>126287</v>
      </c>
      <c r="K76" s="3">
        <v>6922604</v>
      </c>
      <c r="M76" s="3">
        <f t="shared" si="3"/>
        <v>2579696</v>
      </c>
      <c r="O76" s="3">
        <v>29070</v>
      </c>
      <c r="Q76" s="3">
        <f>502824-29070</f>
        <v>473754</v>
      </c>
      <c r="S76" s="3">
        <v>3082520</v>
      </c>
      <c r="U76" s="3">
        <v>126287</v>
      </c>
      <c r="W76" s="3">
        <f t="shared" si="4"/>
        <v>22986</v>
      </c>
      <c r="Y76" s="3">
        <v>3690811</v>
      </c>
      <c r="AA76" s="3">
        <v>3840084</v>
      </c>
      <c r="AC76" s="3">
        <f>+K76-S76-AA76</f>
        <v>0</v>
      </c>
      <c r="AE76" s="3">
        <f>+G76+I76-M76-O76-U76-W76-Y76-Q76</f>
        <v>0</v>
      </c>
    </row>
    <row r="77" spans="1:31" ht="12" hidden="1" customHeight="1">
      <c r="A77" s="16" t="s">
        <v>350</v>
      </c>
      <c r="C77" s="3" t="s">
        <v>164</v>
      </c>
      <c r="E77" s="12">
        <v>46375</v>
      </c>
      <c r="G77" s="3">
        <f t="shared" si="2"/>
        <v>0</v>
      </c>
      <c r="M77" s="3">
        <f t="shared" si="3"/>
        <v>0</v>
      </c>
      <c r="W77" s="3">
        <f t="shared" si="4"/>
        <v>0</v>
      </c>
      <c r="AC77" s="3">
        <f t="shared" si="8"/>
        <v>0</v>
      </c>
      <c r="AE77" s="3">
        <f t="shared" si="7"/>
        <v>0</v>
      </c>
    </row>
    <row r="78" spans="1:31" ht="12" customHeight="1">
      <c r="A78" s="16" t="s">
        <v>367</v>
      </c>
      <c r="C78" s="3" t="s">
        <v>165</v>
      </c>
      <c r="E78" s="12">
        <v>46417</v>
      </c>
      <c r="G78" s="3">
        <f t="shared" si="2"/>
        <v>1463185</v>
      </c>
      <c r="I78" s="3">
        <v>708327</v>
      </c>
      <c r="K78" s="3">
        <v>2171512</v>
      </c>
      <c r="M78" s="3">
        <f t="shared" si="3"/>
        <v>1311615</v>
      </c>
      <c r="O78" s="3">
        <v>160916</v>
      </c>
      <c r="Q78" s="3">
        <f>969018-160916</f>
        <v>808102</v>
      </c>
      <c r="S78" s="3">
        <v>2280633</v>
      </c>
      <c r="U78" s="3">
        <v>218584</v>
      </c>
      <c r="W78" s="3">
        <f t="shared" si="4"/>
        <v>7026</v>
      </c>
      <c r="Y78" s="3">
        <v>-334731</v>
      </c>
      <c r="AA78" s="3">
        <v>-109121</v>
      </c>
      <c r="AC78" s="3">
        <f t="shared" si="8"/>
        <v>0</v>
      </c>
      <c r="AE78" s="3">
        <f t="shared" si="7"/>
        <v>0</v>
      </c>
    </row>
    <row r="79" spans="1:31" ht="12" customHeight="1">
      <c r="A79" s="3" t="s">
        <v>166</v>
      </c>
      <c r="C79" s="3" t="s">
        <v>167</v>
      </c>
      <c r="E79" s="12">
        <v>46532</v>
      </c>
      <c r="G79" s="3">
        <f t="shared" si="2"/>
        <v>31881627</v>
      </c>
      <c r="I79" s="3">
        <v>6280320</v>
      </c>
      <c r="K79" s="3">
        <v>38161947</v>
      </c>
      <c r="M79" s="3">
        <f t="shared" si="3"/>
        <v>7114430</v>
      </c>
      <c r="O79" s="3">
        <v>1494606</v>
      </c>
      <c r="Q79" s="3">
        <f>3675890-1494606</f>
        <v>2181284</v>
      </c>
      <c r="S79" s="3">
        <v>10790320</v>
      </c>
      <c r="U79" s="3">
        <v>4546320</v>
      </c>
      <c r="W79" s="3">
        <f t="shared" si="4"/>
        <v>186766</v>
      </c>
      <c r="Y79" s="3">
        <v>22638541</v>
      </c>
      <c r="AA79" s="3">
        <v>27371627</v>
      </c>
      <c r="AC79" s="3">
        <f t="shared" si="8"/>
        <v>0</v>
      </c>
      <c r="AE79" s="3">
        <f t="shared" si="7"/>
        <v>0</v>
      </c>
    </row>
    <row r="80" spans="1:31" ht="12" hidden="1" customHeight="1">
      <c r="A80" s="3" t="s">
        <v>339</v>
      </c>
      <c r="C80" s="3" t="s">
        <v>169</v>
      </c>
      <c r="E80" s="12">
        <v>46615</v>
      </c>
      <c r="G80" s="3">
        <f t="shared" si="2"/>
        <v>0</v>
      </c>
      <c r="M80" s="3">
        <f t="shared" si="3"/>
        <v>0</v>
      </c>
      <c r="W80" s="3">
        <f t="shared" si="4"/>
        <v>0</v>
      </c>
      <c r="AC80" s="3">
        <f t="shared" si="8"/>
        <v>0</v>
      </c>
      <c r="AE80" s="3">
        <f t="shared" si="7"/>
        <v>0</v>
      </c>
    </row>
    <row r="81" spans="1:31" ht="12" hidden="1" customHeight="1">
      <c r="A81" s="3" t="s">
        <v>363</v>
      </c>
      <c r="C81" s="3" t="s">
        <v>171</v>
      </c>
      <c r="E81" s="12">
        <v>46730</v>
      </c>
      <c r="G81" s="3">
        <f t="shared" si="2"/>
        <v>0</v>
      </c>
      <c r="M81" s="3">
        <f t="shared" si="3"/>
        <v>0</v>
      </c>
      <c r="W81" s="3">
        <f t="shared" si="4"/>
        <v>0</v>
      </c>
      <c r="AC81" s="3">
        <f t="shared" si="8"/>
        <v>0</v>
      </c>
      <c r="AE81" s="3">
        <f t="shared" si="7"/>
        <v>0</v>
      </c>
    </row>
    <row r="82" spans="1:31" ht="12" customHeight="1">
      <c r="A82" s="3" t="s">
        <v>384</v>
      </c>
      <c r="C82" s="3" t="s">
        <v>227</v>
      </c>
      <c r="E82" s="12">
        <v>50260</v>
      </c>
      <c r="G82" s="3">
        <f t="shared" si="2"/>
        <v>1631199</v>
      </c>
      <c r="I82" s="3">
        <v>1637892</v>
      </c>
      <c r="K82" s="3">
        <v>3269091</v>
      </c>
      <c r="M82" s="3">
        <f t="shared" si="3"/>
        <v>841510</v>
      </c>
      <c r="O82" s="3">
        <v>139071</v>
      </c>
      <c r="Q82" s="3">
        <v>802124</v>
      </c>
      <c r="S82" s="3">
        <v>1782705</v>
      </c>
      <c r="U82" s="3">
        <v>1032411</v>
      </c>
      <c r="W82" s="3">
        <f t="shared" si="4"/>
        <v>63570</v>
      </c>
      <c r="Y82" s="3">
        <v>390405</v>
      </c>
      <c r="AA82" s="3">
        <v>1486386</v>
      </c>
      <c r="AC82" s="3">
        <f t="shared" si="8"/>
        <v>0</v>
      </c>
    </row>
    <row r="83" spans="1:31" ht="12" hidden="1" customHeight="1">
      <c r="A83" s="16" t="s">
        <v>344</v>
      </c>
      <c r="C83" s="3" t="s">
        <v>172</v>
      </c>
      <c r="E83" s="12">
        <v>125690</v>
      </c>
      <c r="G83" s="3">
        <f t="shared" si="2"/>
        <v>0</v>
      </c>
      <c r="M83" s="3">
        <f t="shared" si="3"/>
        <v>0</v>
      </c>
      <c r="W83" s="3">
        <f t="shared" si="4"/>
        <v>0</v>
      </c>
      <c r="AC83" s="3">
        <f t="shared" si="8"/>
        <v>0</v>
      </c>
      <c r="AE83" s="3">
        <f t="shared" si="7"/>
        <v>0</v>
      </c>
    </row>
    <row r="84" spans="1:31" ht="12" customHeight="1">
      <c r="A84" s="3" t="s">
        <v>173</v>
      </c>
      <c r="C84" s="3" t="s">
        <v>174</v>
      </c>
      <c r="E84" s="12">
        <v>46839</v>
      </c>
      <c r="G84" s="3">
        <f t="shared" si="2"/>
        <v>2163341</v>
      </c>
      <c r="I84" s="3">
        <v>69585</v>
      </c>
      <c r="K84" s="3">
        <v>2232926</v>
      </c>
      <c r="M84" s="3">
        <f t="shared" si="3"/>
        <v>1100250</v>
      </c>
      <c r="O84" s="3">
        <v>102453</v>
      </c>
      <c r="Q84" s="3">
        <v>304621</v>
      </c>
      <c r="S84" s="3">
        <v>1507324</v>
      </c>
      <c r="U84" s="3">
        <v>45650</v>
      </c>
      <c r="W84" s="3">
        <f t="shared" si="4"/>
        <v>32189</v>
      </c>
      <c r="Y84" s="3">
        <v>647763</v>
      </c>
      <c r="AA84" s="3">
        <v>725602</v>
      </c>
      <c r="AC84" s="3">
        <f>+K84-S84-AA84</f>
        <v>0</v>
      </c>
      <c r="AE84" s="3">
        <f t="shared" si="7"/>
        <v>0</v>
      </c>
    </row>
    <row r="85" spans="1:31" ht="12" customHeight="1">
      <c r="A85" s="3" t="s">
        <v>353</v>
      </c>
      <c r="C85" s="3" t="s">
        <v>175</v>
      </c>
      <c r="E85" s="12">
        <v>46938</v>
      </c>
      <c r="G85" s="3">
        <f t="shared" si="2"/>
        <v>26866420</v>
      </c>
      <c r="I85" s="3">
        <f>575181+5592079</f>
        <v>6167260</v>
      </c>
      <c r="K85" s="3">
        <v>33033680</v>
      </c>
      <c r="M85" s="3">
        <f t="shared" si="3"/>
        <v>5892509</v>
      </c>
      <c r="O85" s="3">
        <v>945836</v>
      </c>
      <c r="Q85" s="3">
        <v>4274045</v>
      </c>
      <c r="S85" s="3">
        <v>11112390</v>
      </c>
      <c r="U85" s="3">
        <v>2892330</v>
      </c>
      <c r="W85" s="3">
        <f t="shared" si="4"/>
        <v>1589882</v>
      </c>
      <c r="Y85" s="3">
        <v>17439078</v>
      </c>
      <c r="AA85" s="3">
        <v>21921290</v>
      </c>
      <c r="AC85" s="3">
        <f t="shared" si="8"/>
        <v>0</v>
      </c>
      <c r="AE85" s="3">
        <f t="shared" si="7"/>
        <v>0</v>
      </c>
    </row>
    <row r="86" spans="1:31" ht="12" customHeight="1">
      <c r="A86" s="3" t="s">
        <v>177</v>
      </c>
      <c r="C86" s="3" t="s">
        <v>178</v>
      </c>
      <c r="E86" s="12">
        <v>125682</v>
      </c>
      <c r="G86" s="3">
        <f t="shared" si="2"/>
        <v>1362194</v>
      </c>
      <c r="I86" s="3">
        <v>52586</v>
      </c>
      <c r="K86" s="3">
        <v>1414780</v>
      </c>
      <c r="M86" s="3">
        <f t="shared" si="3"/>
        <v>57503</v>
      </c>
      <c r="O86" s="3">
        <v>1522</v>
      </c>
      <c r="Q86" s="3">
        <f>63428-1522</f>
        <v>61906</v>
      </c>
      <c r="S86" s="3">
        <v>120931</v>
      </c>
      <c r="U86" s="3">
        <v>52586</v>
      </c>
      <c r="W86" s="3">
        <f t="shared" si="4"/>
        <v>244626</v>
      </c>
      <c r="Y86" s="3">
        <v>996637</v>
      </c>
      <c r="AA86" s="3">
        <v>1293849</v>
      </c>
      <c r="AC86" s="3">
        <f t="shared" si="8"/>
        <v>0</v>
      </c>
      <c r="AE86" s="3">
        <f t="shared" si="7"/>
        <v>0</v>
      </c>
    </row>
    <row r="87" spans="1:31" ht="12" customHeight="1">
      <c r="A87" s="35" t="s">
        <v>376</v>
      </c>
      <c r="C87" s="3" t="s">
        <v>179</v>
      </c>
      <c r="E87" s="12">
        <v>47159</v>
      </c>
      <c r="G87" s="3">
        <f t="shared" si="2"/>
        <v>2093815</v>
      </c>
      <c r="I87" s="3">
        <v>48017</v>
      </c>
      <c r="K87" s="3">
        <v>2141832</v>
      </c>
      <c r="M87" s="3">
        <f t="shared" si="3"/>
        <v>1081030</v>
      </c>
      <c r="O87" s="3">
        <v>33675</v>
      </c>
      <c r="Q87" s="3">
        <f>251929-33675</f>
        <v>218254</v>
      </c>
      <c r="S87" s="3">
        <v>1332959</v>
      </c>
      <c r="U87" s="3">
        <v>48017</v>
      </c>
      <c r="W87" s="3">
        <f t="shared" si="4"/>
        <v>16380</v>
      </c>
      <c r="Y87" s="3">
        <v>744476</v>
      </c>
      <c r="AA87" s="3">
        <v>808873</v>
      </c>
      <c r="AC87" s="3">
        <f t="shared" si="8"/>
        <v>0</v>
      </c>
      <c r="AE87" s="3">
        <f t="shared" si="7"/>
        <v>0</v>
      </c>
    </row>
    <row r="88" spans="1:31" ht="12" customHeight="1">
      <c r="A88" s="16" t="s">
        <v>377</v>
      </c>
      <c r="C88" s="3" t="s">
        <v>180</v>
      </c>
      <c r="E88" s="12">
        <v>47233</v>
      </c>
      <c r="G88" s="3">
        <f t="shared" ref="G88:G130" si="9">+K88-I88</f>
        <v>3546100</v>
      </c>
      <c r="I88" s="3">
        <v>689494</v>
      </c>
      <c r="K88" s="3">
        <v>4235594</v>
      </c>
      <c r="M88" s="3">
        <f t="shared" ref="M88:M130" si="10">+S88-O88-Q88</f>
        <v>1737192</v>
      </c>
      <c r="O88" s="3">
        <v>158784</v>
      </c>
      <c r="Q88" s="3">
        <f>921939-158784</f>
        <v>763155</v>
      </c>
      <c r="S88" s="3">
        <v>2659131</v>
      </c>
      <c r="U88" s="3">
        <v>563697</v>
      </c>
      <c r="W88" s="3">
        <f t="shared" ref="W88:W130" si="11">AA88-Y88-U88</f>
        <v>84357</v>
      </c>
      <c r="Y88" s="3">
        <v>928409</v>
      </c>
      <c r="AA88" s="3">
        <v>1576463</v>
      </c>
      <c r="AC88" s="3">
        <f t="shared" si="8"/>
        <v>0</v>
      </c>
      <c r="AE88" s="3">
        <f t="shared" si="7"/>
        <v>0</v>
      </c>
    </row>
    <row r="89" spans="1:31" ht="12" customHeight="1">
      <c r="A89" s="16" t="s">
        <v>378</v>
      </c>
      <c r="C89" s="3" t="s">
        <v>181</v>
      </c>
      <c r="E89" s="12">
        <v>47324</v>
      </c>
      <c r="G89" s="3">
        <f t="shared" si="9"/>
        <v>15517532</v>
      </c>
      <c r="I89" s="3">
        <v>3060390</v>
      </c>
      <c r="K89" s="3">
        <v>18577922</v>
      </c>
      <c r="M89" s="3">
        <f t="shared" si="10"/>
        <v>4709304</v>
      </c>
      <c r="O89" s="3">
        <v>137680</v>
      </c>
      <c r="Q89" s="3">
        <f>5624032-137680</f>
        <v>5486352</v>
      </c>
      <c r="S89" s="3">
        <v>10333336</v>
      </c>
      <c r="U89" s="3">
        <v>836390</v>
      </c>
      <c r="W89" s="3">
        <f t="shared" si="11"/>
        <v>2162123</v>
      </c>
      <c r="Y89" s="3">
        <v>5246073</v>
      </c>
      <c r="AA89" s="3">
        <v>8244586</v>
      </c>
      <c r="AC89" s="3">
        <f t="shared" si="8"/>
        <v>0</v>
      </c>
      <c r="AE89" s="3">
        <f t="shared" si="7"/>
        <v>0</v>
      </c>
    </row>
    <row r="90" spans="1:31" ht="12" customHeight="1">
      <c r="A90" s="16" t="s">
        <v>379</v>
      </c>
      <c r="C90" s="3" t="s">
        <v>182</v>
      </c>
      <c r="E90" s="12">
        <v>47407</v>
      </c>
      <c r="G90" s="3">
        <f t="shared" si="9"/>
        <v>992309</v>
      </c>
      <c r="I90" s="3">
        <v>49862</v>
      </c>
      <c r="K90" s="3">
        <v>1042171</v>
      </c>
      <c r="M90" s="3">
        <f t="shared" si="10"/>
        <v>673330</v>
      </c>
      <c r="O90" s="3">
        <v>66673</v>
      </c>
      <c r="Q90" s="3">
        <f>380781-66673</f>
        <v>314108</v>
      </c>
      <c r="S90" s="3">
        <v>1054111</v>
      </c>
      <c r="U90" s="3">
        <v>49862</v>
      </c>
      <c r="W90" s="3">
        <f t="shared" si="11"/>
        <v>13050</v>
      </c>
      <c r="Y90" s="3">
        <v>-74852</v>
      </c>
      <c r="AA90" s="3">
        <v>-11940</v>
      </c>
      <c r="AC90" s="3">
        <f t="shared" si="8"/>
        <v>0</v>
      </c>
      <c r="AE90" s="3">
        <f t="shared" si="7"/>
        <v>0</v>
      </c>
    </row>
    <row r="91" spans="1:31" ht="12" customHeight="1">
      <c r="A91" s="16" t="s">
        <v>380</v>
      </c>
      <c r="C91" s="3" t="s">
        <v>21</v>
      </c>
      <c r="E91" s="12">
        <v>47480</v>
      </c>
      <c r="G91" s="3">
        <f t="shared" si="9"/>
        <v>1857106</v>
      </c>
      <c r="I91" s="3">
        <v>10900</v>
      </c>
      <c r="K91" s="3">
        <v>1868006</v>
      </c>
      <c r="M91" s="3">
        <f t="shared" si="10"/>
        <v>448439</v>
      </c>
      <c r="O91" s="3">
        <v>0</v>
      </c>
      <c r="Q91" s="3">
        <v>20625</v>
      </c>
      <c r="S91" s="3">
        <v>469064</v>
      </c>
      <c r="U91" s="3">
        <v>10900</v>
      </c>
      <c r="W91" s="3">
        <f t="shared" si="11"/>
        <v>0</v>
      </c>
      <c r="Y91" s="3">
        <v>1388042</v>
      </c>
      <c r="AA91" s="3">
        <v>1398942</v>
      </c>
      <c r="AC91" s="3">
        <f t="shared" si="8"/>
        <v>0</v>
      </c>
      <c r="AE91" s="3">
        <f t="shared" si="7"/>
        <v>0</v>
      </c>
    </row>
    <row r="92" spans="1:31" ht="12" customHeight="1">
      <c r="A92" s="16" t="s">
        <v>381</v>
      </c>
      <c r="C92" s="3" t="s">
        <v>183</v>
      </c>
      <c r="E92" s="12">
        <v>47779</v>
      </c>
      <c r="G92" s="3">
        <f t="shared" si="9"/>
        <v>4060450</v>
      </c>
      <c r="I92" s="3">
        <v>311295</v>
      </c>
      <c r="K92" s="3">
        <v>4371745</v>
      </c>
      <c r="M92" s="3">
        <f t="shared" si="10"/>
        <v>577595</v>
      </c>
      <c r="O92" s="3">
        <v>71385</v>
      </c>
      <c r="Q92" s="3">
        <f>235405-71385</f>
        <v>164020</v>
      </c>
      <c r="S92" s="3">
        <v>813000</v>
      </c>
      <c r="U92" s="3">
        <v>296087</v>
      </c>
      <c r="W92" s="3">
        <f t="shared" si="11"/>
        <v>55531</v>
      </c>
      <c r="Y92" s="3">
        <v>3207127</v>
      </c>
      <c r="AA92" s="3">
        <v>3558745</v>
      </c>
      <c r="AC92" s="3">
        <f t="shared" si="8"/>
        <v>0</v>
      </c>
      <c r="AE92" s="3">
        <f t="shared" si="7"/>
        <v>0</v>
      </c>
    </row>
    <row r="93" spans="1:31" ht="12" customHeight="1">
      <c r="A93" s="16" t="s">
        <v>382</v>
      </c>
      <c r="C93" s="3" t="s">
        <v>184</v>
      </c>
      <c r="E93" s="12">
        <v>47811</v>
      </c>
      <c r="G93" s="3">
        <f t="shared" si="9"/>
        <v>457007</v>
      </c>
      <c r="I93" s="3">
        <v>194323</v>
      </c>
      <c r="K93" s="3">
        <v>651330</v>
      </c>
      <c r="M93" s="3">
        <f t="shared" si="10"/>
        <v>875272</v>
      </c>
      <c r="O93" s="3">
        <v>19244</v>
      </c>
      <c r="Q93" s="3">
        <f>96215-19244</f>
        <v>76971</v>
      </c>
      <c r="S93" s="3">
        <v>971487</v>
      </c>
      <c r="U93" s="3">
        <v>194323</v>
      </c>
      <c r="W93" s="3">
        <f t="shared" si="11"/>
        <v>87874</v>
      </c>
      <c r="Y93" s="3">
        <v>-602354</v>
      </c>
      <c r="AA93" s="3">
        <v>-320157</v>
      </c>
      <c r="AC93" s="3">
        <f t="shared" si="8"/>
        <v>0</v>
      </c>
      <c r="AE93" s="3">
        <f t="shared" si="7"/>
        <v>0</v>
      </c>
    </row>
    <row r="94" spans="1:31" ht="12" customHeight="1">
      <c r="A94" s="16" t="s">
        <v>383</v>
      </c>
      <c r="C94" s="3" t="s">
        <v>154</v>
      </c>
      <c r="E94" s="12">
        <v>47860</v>
      </c>
      <c r="G94" s="3">
        <f t="shared" si="9"/>
        <v>8323876</v>
      </c>
      <c r="I94" s="3">
        <v>32659</v>
      </c>
      <c r="K94" s="3">
        <v>8356535</v>
      </c>
      <c r="M94" s="3">
        <f t="shared" si="10"/>
        <v>6496975</v>
      </c>
      <c r="O94" s="3">
        <v>72283</v>
      </c>
      <c r="Q94" s="3">
        <f>128556-72283</f>
        <v>56273</v>
      </c>
      <c r="S94" s="3">
        <v>6625531</v>
      </c>
      <c r="U94" s="3">
        <v>32659</v>
      </c>
      <c r="W94" s="3">
        <f t="shared" si="11"/>
        <v>1127770</v>
      </c>
      <c r="Y94" s="3">
        <v>570575</v>
      </c>
      <c r="AA94" s="3">
        <v>1731004</v>
      </c>
      <c r="AC94" s="3">
        <f>+K94-S94-AA94</f>
        <v>0</v>
      </c>
      <c r="AE94" s="3">
        <f t="shared" si="7"/>
        <v>0</v>
      </c>
    </row>
    <row r="95" spans="1:31" ht="12" customHeight="1">
      <c r="A95" s="16" t="s">
        <v>368</v>
      </c>
      <c r="C95" s="3" t="s">
        <v>185</v>
      </c>
      <c r="E95" s="12">
        <v>47910</v>
      </c>
      <c r="G95" s="3">
        <f t="shared" si="9"/>
        <v>329467</v>
      </c>
      <c r="I95" s="3">
        <v>20119</v>
      </c>
      <c r="K95" s="3">
        <v>349586</v>
      </c>
      <c r="M95" s="3">
        <f t="shared" si="10"/>
        <v>74129</v>
      </c>
      <c r="O95" s="3">
        <v>67679</v>
      </c>
      <c r="Q95" s="3">
        <f>111061-67679</f>
        <v>43382</v>
      </c>
      <c r="S95" s="3">
        <v>185190</v>
      </c>
      <c r="U95" s="3">
        <v>20119</v>
      </c>
      <c r="W95" s="3">
        <f t="shared" si="11"/>
        <v>8271</v>
      </c>
      <c r="Y95" s="3">
        <v>136006</v>
      </c>
      <c r="AA95" s="3">
        <v>164396</v>
      </c>
      <c r="AC95" s="3">
        <f t="shared" si="8"/>
        <v>0</v>
      </c>
      <c r="AE95" s="3">
        <f t="shared" si="7"/>
        <v>0</v>
      </c>
    </row>
    <row r="96" spans="1:31" ht="12" customHeight="1">
      <c r="A96" s="3" t="s">
        <v>369</v>
      </c>
      <c r="C96" s="3" t="s">
        <v>187</v>
      </c>
      <c r="G96" s="3">
        <f>+K96-I96</f>
        <v>3312665</v>
      </c>
      <c r="I96" s="3">
        <v>101039</v>
      </c>
      <c r="K96" s="3">
        <v>3413704</v>
      </c>
      <c r="M96" s="3">
        <f>+S96-O96-Q96</f>
        <v>1249396</v>
      </c>
      <c r="O96" s="3">
        <v>137834</v>
      </c>
      <c r="Q96" s="3">
        <f>344516-137834</f>
        <v>206682</v>
      </c>
      <c r="S96" s="3">
        <v>1593912</v>
      </c>
      <c r="U96" s="3">
        <v>64838</v>
      </c>
      <c r="W96" s="3">
        <f>AA96-Y96-U96</f>
        <v>120887</v>
      </c>
      <c r="Y96" s="3">
        <v>1634067</v>
      </c>
      <c r="AA96" s="3">
        <v>1819792</v>
      </c>
      <c r="AC96" s="3">
        <f>+K96-S96-AA96</f>
        <v>0</v>
      </c>
      <c r="AE96" s="3">
        <f>+G96+I96-M96-O96-U96-W96-Y96-Q96</f>
        <v>0</v>
      </c>
    </row>
    <row r="97" spans="1:31" ht="12" customHeight="1">
      <c r="A97" s="16" t="s">
        <v>370</v>
      </c>
      <c r="C97" s="3" t="s">
        <v>188</v>
      </c>
      <c r="E97" s="12">
        <v>48058</v>
      </c>
      <c r="G97" s="3">
        <f t="shared" si="9"/>
        <v>1036005</v>
      </c>
      <c r="I97" s="3">
        <v>37374</v>
      </c>
      <c r="K97" s="3">
        <v>1073379</v>
      </c>
      <c r="M97" s="3">
        <f t="shared" si="10"/>
        <v>364223</v>
      </c>
      <c r="O97" s="3">
        <v>41208</v>
      </c>
      <c r="Q97" s="3">
        <f>103249-41208</f>
        <v>62041</v>
      </c>
      <c r="S97" s="3">
        <v>467472</v>
      </c>
      <c r="U97" s="3">
        <v>37374</v>
      </c>
      <c r="W97" s="3">
        <f t="shared" si="11"/>
        <v>304722</v>
      </c>
      <c r="Y97" s="3">
        <v>263811</v>
      </c>
      <c r="AA97" s="3">
        <v>605907</v>
      </c>
      <c r="AC97" s="3">
        <f t="shared" si="8"/>
        <v>0</v>
      </c>
      <c r="AE97" s="3">
        <f t="shared" si="7"/>
        <v>0</v>
      </c>
    </row>
    <row r="98" spans="1:31" ht="12" customHeight="1">
      <c r="A98" s="16" t="s">
        <v>371</v>
      </c>
      <c r="C98" s="3" t="s">
        <v>150</v>
      </c>
      <c r="E98" s="12">
        <v>48108</v>
      </c>
      <c r="G98" s="3">
        <f t="shared" si="9"/>
        <v>4077836</v>
      </c>
      <c r="I98" s="3">
        <v>1168037</v>
      </c>
      <c r="K98" s="3">
        <v>5245873</v>
      </c>
      <c r="M98" s="3">
        <f t="shared" si="10"/>
        <v>882629</v>
      </c>
      <c r="O98" s="3">
        <v>178816</v>
      </c>
      <c r="Q98" s="3">
        <f>525321-178816</f>
        <v>346505</v>
      </c>
      <c r="S98" s="3">
        <v>1407950</v>
      </c>
      <c r="U98" s="3">
        <v>1168037</v>
      </c>
      <c r="W98" s="3">
        <f t="shared" si="11"/>
        <v>87756</v>
      </c>
      <c r="Y98" s="3">
        <v>2582130</v>
      </c>
      <c r="AA98" s="3">
        <v>3837923</v>
      </c>
      <c r="AC98" s="3">
        <f t="shared" si="8"/>
        <v>0</v>
      </c>
      <c r="AE98" s="3">
        <f t="shared" si="7"/>
        <v>0</v>
      </c>
    </row>
    <row r="99" spans="1:31" ht="12" customHeight="1">
      <c r="A99" s="16" t="s">
        <v>372</v>
      </c>
      <c r="C99" s="3" t="s">
        <v>189</v>
      </c>
      <c r="E99" s="12">
        <v>48199</v>
      </c>
      <c r="G99" s="3">
        <f t="shared" si="9"/>
        <v>6954225</v>
      </c>
      <c r="I99" s="3">
        <v>3677061</v>
      </c>
      <c r="K99" s="3">
        <v>10631286</v>
      </c>
      <c r="M99" s="3">
        <f t="shared" si="10"/>
        <v>1722889</v>
      </c>
      <c r="O99" s="3">
        <v>284822</v>
      </c>
      <c r="Q99" s="3">
        <f>1660224-284822</f>
        <v>1375402</v>
      </c>
      <c r="S99" s="3">
        <v>3383113</v>
      </c>
      <c r="U99" s="3">
        <v>3667208</v>
      </c>
      <c r="W99" s="3">
        <f t="shared" si="11"/>
        <v>2200569</v>
      </c>
      <c r="Y99" s="3">
        <v>1380396</v>
      </c>
      <c r="AA99" s="3">
        <v>7248173</v>
      </c>
      <c r="AC99" s="3">
        <f t="shared" si="8"/>
        <v>0</v>
      </c>
      <c r="AE99" s="3">
        <f t="shared" si="7"/>
        <v>0</v>
      </c>
    </row>
    <row r="100" spans="1:31" ht="12" customHeight="1">
      <c r="A100" s="3" t="s">
        <v>159</v>
      </c>
      <c r="C100" s="3" t="s">
        <v>160</v>
      </c>
      <c r="E100" s="12">
        <v>137364</v>
      </c>
      <c r="G100" s="3">
        <f t="shared" si="9"/>
        <v>1454715</v>
      </c>
      <c r="I100" s="3">
        <v>101463</v>
      </c>
      <c r="K100" s="3">
        <v>1556178</v>
      </c>
      <c r="M100" s="3">
        <f t="shared" si="10"/>
        <v>1327941</v>
      </c>
      <c r="O100" s="3">
        <v>41581</v>
      </c>
      <c r="Q100" s="3">
        <v>642872</v>
      </c>
      <c r="S100" s="3">
        <v>2012394</v>
      </c>
      <c r="U100" s="3">
        <v>11458</v>
      </c>
      <c r="W100" s="3">
        <f t="shared" si="11"/>
        <v>96858</v>
      </c>
      <c r="Y100" s="3">
        <v>-564532</v>
      </c>
      <c r="AA100" s="3">
        <v>-456216</v>
      </c>
      <c r="AC100" s="3">
        <f t="shared" si="8"/>
        <v>0</v>
      </c>
      <c r="AE100" s="3">
        <f t="shared" si="7"/>
        <v>0</v>
      </c>
    </row>
    <row r="101" spans="1:31" ht="12" customHeight="1">
      <c r="A101" s="3" t="s">
        <v>190</v>
      </c>
      <c r="C101" s="3" t="s">
        <v>191</v>
      </c>
      <c r="E101" s="12">
        <v>48280</v>
      </c>
      <c r="G101" s="3">
        <f t="shared" si="9"/>
        <v>6932943</v>
      </c>
      <c r="I101" s="3">
        <v>392467</v>
      </c>
      <c r="K101" s="3">
        <v>7325410</v>
      </c>
      <c r="M101" s="3">
        <f t="shared" si="10"/>
        <v>2157559</v>
      </c>
      <c r="O101" s="3">
        <v>147700</v>
      </c>
      <c r="Q101" s="3">
        <v>384016</v>
      </c>
      <c r="S101" s="3">
        <v>2689275</v>
      </c>
      <c r="U101" s="3">
        <v>392467</v>
      </c>
      <c r="W101" s="3">
        <f t="shared" si="11"/>
        <v>1474939</v>
      </c>
      <c r="Y101" s="3">
        <v>2768729</v>
      </c>
      <c r="AA101" s="3">
        <v>4636135</v>
      </c>
      <c r="AC101" s="3">
        <f t="shared" si="8"/>
        <v>0</v>
      </c>
      <c r="AE101" s="3">
        <f t="shared" si="7"/>
        <v>0</v>
      </c>
    </row>
    <row r="102" spans="1:31" ht="12" customHeight="1">
      <c r="A102" s="3" t="s">
        <v>192</v>
      </c>
      <c r="C102" s="3" t="s">
        <v>193</v>
      </c>
      <c r="E102" s="12">
        <v>48454</v>
      </c>
      <c r="G102" s="3">
        <f t="shared" si="9"/>
        <v>2574028</v>
      </c>
      <c r="I102" s="3">
        <v>83846</v>
      </c>
      <c r="K102" s="3">
        <v>2657874</v>
      </c>
      <c r="M102" s="3">
        <f t="shared" si="10"/>
        <v>324255</v>
      </c>
      <c r="O102" s="3">
        <v>73803</v>
      </c>
      <c r="Q102" s="3">
        <v>110665</v>
      </c>
      <c r="S102" s="3">
        <v>508723</v>
      </c>
      <c r="U102" s="3">
        <v>83846</v>
      </c>
      <c r="W102" s="3">
        <f t="shared" si="11"/>
        <v>119236</v>
      </c>
      <c r="Y102" s="3">
        <v>1946069</v>
      </c>
      <c r="AA102" s="3">
        <v>2149151</v>
      </c>
      <c r="AC102" s="3">
        <f t="shared" si="8"/>
        <v>0</v>
      </c>
      <c r="AE102" s="3">
        <f t="shared" si="7"/>
        <v>0</v>
      </c>
    </row>
    <row r="103" spans="1:31" ht="12" hidden="1" customHeight="1">
      <c r="A103" s="3" t="s">
        <v>348</v>
      </c>
      <c r="C103" s="3" t="s">
        <v>195</v>
      </c>
      <c r="E103" s="12">
        <v>48546</v>
      </c>
      <c r="G103" s="3">
        <f t="shared" si="9"/>
        <v>0</v>
      </c>
      <c r="M103" s="3">
        <f t="shared" si="10"/>
        <v>0</v>
      </c>
      <c r="W103" s="3">
        <f t="shared" si="11"/>
        <v>0</v>
      </c>
      <c r="AC103" s="3">
        <f>+K103-S103-AA103</f>
        <v>0</v>
      </c>
      <c r="AE103" s="3">
        <f t="shared" si="7"/>
        <v>0</v>
      </c>
    </row>
    <row r="104" spans="1:31" ht="12" customHeight="1">
      <c r="A104" s="3" t="s">
        <v>196</v>
      </c>
      <c r="C104" s="3" t="s">
        <v>197</v>
      </c>
      <c r="E104" s="12">
        <v>48603</v>
      </c>
      <c r="G104" s="3">
        <f t="shared" si="9"/>
        <v>3037282</v>
      </c>
      <c r="I104" s="3">
        <f>119608+1158753</f>
        <v>1278361</v>
      </c>
      <c r="K104" s="3">
        <v>4315643</v>
      </c>
      <c r="M104" s="3">
        <f t="shared" si="10"/>
        <v>1402594</v>
      </c>
      <c r="O104" s="3">
        <v>36343</v>
      </c>
      <c r="Q104" s="3">
        <v>260911</v>
      </c>
      <c r="S104" s="3">
        <v>1699848</v>
      </c>
      <c r="U104" s="3">
        <v>1277693</v>
      </c>
      <c r="W104" s="3">
        <f t="shared" si="11"/>
        <v>1363</v>
      </c>
      <c r="Y104" s="3">
        <v>1336739</v>
      </c>
      <c r="AA104" s="3">
        <v>2615795</v>
      </c>
      <c r="AC104" s="3">
        <f t="shared" si="8"/>
        <v>0</v>
      </c>
      <c r="AE104" s="3">
        <f t="shared" si="7"/>
        <v>0</v>
      </c>
    </row>
    <row r="105" spans="1:31" ht="12" hidden="1" customHeight="1">
      <c r="A105" s="3" t="s">
        <v>347</v>
      </c>
      <c r="C105" s="3" t="s">
        <v>212</v>
      </c>
      <c r="G105" s="3">
        <f>+K105-I105</f>
        <v>0</v>
      </c>
      <c r="M105" s="3">
        <f>+S105-O105-Q105</f>
        <v>0</v>
      </c>
      <c r="W105" s="3">
        <f>AA105-Y105-U105</f>
        <v>0</v>
      </c>
      <c r="AC105" s="3">
        <f>+K105-S105-AA105</f>
        <v>0</v>
      </c>
      <c r="AE105" s="3">
        <f>+G105+I105-M105-O105-U105-W105-Y105-Q105</f>
        <v>0</v>
      </c>
    </row>
    <row r="106" spans="1:31" ht="12" customHeight="1">
      <c r="A106" s="3" t="s">
        <v>198</v>
      </c>
      <c r="C106" s="3" t="s">
        <v>199</v>
      </c>
      <c r="E106" s="12">
        <v>48660</v>
      </c>
      <c r="G106" s="3">
        <f t="shared" si="9"/>
        <v>18171760</v>
      </c>
      <c r="I106" s="3">
        <f>182098+6150705</f>
        <v>6332803</v>
      </c>
      <c r="K106" s="3">
        <v>24504563</v>
      </c>
      <c r="M106" s="3">
        <f t="shared" si="10"/>
        <v>3951185</v>
      </c>
      <c r="O106" s="3">
        <v>391199</v>
      </c>
      <c r="Q106" s="3">
        <v>716370</v>
      </c>
      <c r="S106" s="3">
        <v>5058754</v>
      </c>
      <c r="U106" s="3">
        <v>5861744</v>
      </c>
      <c r="W106" s="3">
        <f t="shared" si="11"/>
        <v>1556568</v>
      </c>
      <c r="Y106" s="3">
        <v>12027497</v>
      </c>
      <c r="AA106" s="3">
        <v>19445809</v>
      </c>
      <c r="AC106" s="3">
        <f t="shared" si="8"/>
        <v>0</v>
      </c>
      <c r="AE106" s="3">
        <f t="shared" si="7"/>
        <v>0</v>
      </c>
    </row>
    <row r="107" spans="1:31" ht="12" customHeight="1">
      <c r="A107" s="3" t="s">
        <v>200</v>
      </c>
      <c r="C107" s="3" t="s">
        <v>201</v>
      </c>
      <c r="E107" s="12">
        <v>125252</v>
      </c>
      <c r="G107" s="3">
        <f t="shared" si="9"/>
        <v>4454691</v>
      </c>
      <c r="I107" s="3">
        <v>185050</v>
      </c>
      <c r="K107" s="3">
        <v>4639741</v>
      </c>
      <c r="M107" s="3">
        <f t="shared" si="10"/>
        <v>1384251</v>
      </c>
      <c r="O107" s="3">
        <v>83149</v>
      </c>
      <c r="Q107" s="3">
        <v>715358</v>
      </c>
      <c r="S107" s="3">
        <v>2182758</v>
      </c>
      <c r="U107" s="3">
        <v>185050</v>
      </c>
      <c r="W107" s="3">
        <f t="shared" si="11"/>
        <v>246250</v>
      </c>
      <c r="Y107" s="3">
        <v>2025683</v>
      </c>
      <c r="AA107" s="3">
        <v>2456983</v>
      </c>
      <c r="AC107" s="3">
        <f t="shared" si="8"/>
        <v>0</v>
      </c>
      <c r="AE107" s="3">
        <f t="shared" si="7"/>
        <v>0</v>
      </c>
    </row>
    <row r="108" spans="1:31" ht="12" customHeight="1">
      <c r="A108" s="3" t="s">
        <v>326</v>
      </c>
      <c r="C108" s="3" t="s">
        <v>218</v>
      </c>
      <c r="E108" s="12">
        <v>123257</v>
      </c>
      <c r="G108" s="3">
        <f t="shared" si="9"/>
        <v>3139630</v>
      </c>
      <c r="I108" s="3">
        <v>282307</v>
      </c>
      <c r="K108" s="3">
        <v>3421937</v>
      </c>
      <c r="M108" s="3">
        <f t="shared" si="10"/>
        <v>1647975</v>
      </c>
      <c r="O108" s="3">
        <v>110841</v>
      </c>
      <c r="Q108" s="3">
        <f>739814-110841</f>
        <v>628973</v>
      </c>
      <c r="S108" s="3">
        <v>2387789</v>
      </c>
      <c r="U108" s="3">
        <v>282307</v>
      </c>
      <c r="W108" s="3">
        <f t="shared" si="11"/>
        <v>159285</v>
      </c>
      <c r="Y108" s="3">
        <v>592556</v>
      </c>
      <c r="AA108" s="3">
        <v>1034148</v>
      </c>
      <c r="AC108" s="3">
        <f t="shared" si="8"/>
        <v>0</v>
      </c>
      <c r="AE108" s="3">
        <f t="shared" si="7"/>
        <v>0</v>
      </c>
    </row>
    <row r="109" spans="1:31" ht="12" customHeight="1">
      <c r="A109" s="16" t="s">
        <v>373</v>
      </c>
      <c r="B109" s="16"/>
      <c r="C109" s="16" t="s">
        <v>172</v>
      </c>
      <c r="G109" s="3">
        <f t="shared" si="9"/>
        <v>7829743</v>
      </c>
      <c r="I109" s="3">
        <v>171279</v>
      </c>
      <c r="K109" s="3">
        <v>8001022</v>
      </c>
      <c r="M109" s="3">
        <f t="shared" si="10"/>
        <v>1957018</v>
      </c>
      <c r="O109" s="3">
        <v>316601</v>
      </c>
      <c r="Q109" s="3">
        <f>1626298-316601</f>
        <v>1309697</v>
      </c>
      <c r="S109" s="3">
        <v>3583316</v>
      </c>
      <c r="U109" s="3">
        <v>171279</v>
      </c>
      <c r="W109" s="3">
        <f t="shared" si="11"/>
        <v>300120</v>
      </c>
      <c r="Y109" s="3">
        <v>3946307</v>
      </c>
      <c r="AA109" s="3">
        <v>4417706</v>
      </c>
      <c r="AC109" s="3">
        <f t="shared" si="8"/>
        <v>0</v>
      </c>
    </row>
    <row r="110" spans="1:31" ht="12" customHeight="1">
      <c r="A110" s="3" t="s">
        <v>176</v>
      </c>
      <c r="C110" s="3" t="s">
        <v>242</v>
      </c>
      <c r="E110" s="12">
        <v>124297</v>
      </c>
      <c r="G110" s="3">
        <f t="shared" si="9"/>
        <v>9275039</v>
      </c>
      <c r="I110" s="3">
        <v>1129739</v>
      </c>
      <c r="K110" s="3">
        <v>10404778</v>
      </c>
      <c r="M110" s="3">
        <f t="shared" si="10"/>
        <v>2405275</v>
      </c>
      <c r="O110" s="3">
        <v>75460</v>
      </c>
      <c r="Q110" s="3">
        <f>1071913-75460</f>
        <v>996453</v>
      </c>
      <c r="S110" s="3">
        <v>3477188</v>
      </c>
      <c r="U110" s="3">
        <v>1116320</v>
      </c>
      <c r="W110" s="3">
        <f t="shared" si="11"/>
        <v>1340999</v>
      </c>
      <c r="Y110" s="3">
        <v>4470271</v>
      </c>
      <c r="AA110" s="3">
        <v>6927590</v>
      </c>
      <c r="AC110" s="3">
        <f t="shared" si="8"/>
        <v>0</v>
      </c>
      <c r="AE110" s="3">
        <f t="shared" si="7"/>
        <v>0</v>
      </c>
    </row>
    <row r="111" spans="1:31" ht="12" customHeight="1">
      <c r="A111" s="3" t="s">
        <v>313</v>
      </c>
      <c r="C111" s="3" t="s">
        <v>320</v>
      </c>
      <c r="E111" s="12">
        <v>123521</v>
      </c>
      <c r="G111" s="3">
        <f t="shared" si="9"/>
        <v>2307878</v>
      </c>
      <c r="I111" s="3">
        <v>503085</v>
      </c>
      <c r="K111" s="3">
        <v>2810963</v>
      </c>
      <c r="M111" s="3">
        <f t="shared" si="10"/>
        <v>1058337</v>
      </c>
      <c r="O111" s="3">
        <v>144627</v>
      </c>
      <c r="Q111" s="3">
        <f>682916-144627</f>
        <v>538289</v>
      </c>
      <c r="S111" s="3">
        <v>1741253</v>
      </c>
      <c r="U111" s="3">
        <v>224401</v>
      </c>
      <c r="W111" s="3">
        <f t="shared" si="11"/>
        <v>256389</v>
      </c>
      <c r="Y111" s="3">
        <v>588920</v>
      </c>
      <c r="AA111" s="3">
        <v>1069710</v>
      </c>
      <c r="AC111" s="3">
        <f>+K111-S111-AA111</f>
        <v>0</v>
      </c>
      <c r="AE111" s="3">
        <f t="shared" si="7"/>
        <v>0</v>
      </c>
    </row>
    <row r="112" spans="1:31" ht="12" customHeight="1">
      <c r="A112" s="3" t="s">
        <v>202</v>
      </c>
      <c r="C112" s="3" t="s">
        <v>203</v>
      </c>
      <c r="E112" s="12">
        <v>125674</v>
      </c>
      <c r="G112" s="3">
        <f t="shared" si="9"/>
        <v>1254716</v>
      </c>
      <c r="I112" s="3">
        <f>193898+284438</f>
        <v>478336</v>
      </c>
      <c r="K112" s="3">
        <v>1733052</v>
      </c>
      <c r="M112" s="3">
        <f t="shared" si="10"/>
        <v>1021974</v>
      </c>
      <c r="O112" s="3">
        <v>31485</v>
      </c>
      <c r="Q112" s="3">
        <v>244272</v>
      </c>
      <c r="S112" s="3">
        <v>1297731</v>
      </c>
      <c r="U112" s="3">
        <v>436726</v>
      </c>
      <c r="W112" s="3">
        <f t="shared" si="11"/>
        <v>268580</v>
      </c>
      <c r="Y112" s="3">
        <v>-269985</v>
      </c>
      <c r="AA112" s="3">
        <v>435321</v>
      </c>
      <c r="AC112" s="3">
        <f t="shared" ref="AC112:AC130" si="12">+K112-S112-AA112</f>
        <v>0</v>
      </c>
      <c r="AE112" s="3">
        <f t="shared" si="7"/>
        <v>0</v>
      </c>
    </row>
    <row r="113" spans="1:31" ht="12" customHeight="1">
      <c r="A113" s="3" t="s">
        <v>204</v>
      </c>
      <c r="C113" s="3" t="s">
        <v>205</v>
      </c>
      <c r="E113" s="12">
        <v>49072</v>
      </c>
      <c r="G113" s="3">
        <f t="shared" si="9"/>
        <v>754958</v>
      </c>
      <c r="I113" s="3">
        <f>66900+614977</f>
        <v>681877</v>
      </c>
      <c r="K113" s="3">
        <v>1436835</v>
      </c>
      <c r="M113" s="3">
        <f t="shared" si="10"/>
        <v>321651</v>
      </c>
      <c r="O113" s="3">
        <v>9447</v>
      </c>
      <c r="Q113" s="3">
        <v>148987</v>
      </c>
      <c r="S113" s="3">
        <v>480085</v>
      </c>
      <c r="U113" s="3">
        <v>681877</v>
      </c>
      <c r="W113" s="3">
        <f t="shared" si="11"/>
        <v>94809</v>
      </c>
      <c r="Y113" s="3">
        <v>180064</v>
      </c>
      <c r="AA113" s="3">
        <v>956750</v>
      </c>
      <c r="AC113" s="3">
        <f t="shared" si="12"/>
        <v>0</v>
      </c>
      <c r="AE113" s="3">
        <f t="shared" si="7"/>
        <v>0</v>
      </c>
    </row>
    <row r="114" spans="1:31" ht="12" customHeight="1">
      <c r="A114" s="3" t="s">
        <v>206</v>
      </c>
      <c r="C114" s="3" t="s">
        <v>207</v>
      </c>
      <c r="E114" s="12">
        <v>49163</v>
      </c>
      <c r="G114" s="3">
        <f t="shared" si="9"/>
        <v>1695157</v>
      </c>
      <c r="I114" s="3">
        <v>110130</v>
      </c>
      <c r="K114" s="3">
        <v>1805287</v>
      </c>
      <c r="M114" s="3">
        <f t="shared" si="10"/>
        <v>998396</v>
      </c>
      <c r="O114" s="3">
        <v>23833</v>
      </c>
      <c r="Q114" s="3">
        <v>56839</v>
      </c>
      <c r="S114" s="3">
        <v>1079068</v>
      </c>
      <c r="U114" s="3">
        <v>99359</v>
      </c>
      <c r="W114" s="3">
        <f t="shared" si="11"/>
        <v>39729</v>
      </c>
      <c r="Y114" s="3">
        <v>587131</v>
      </c>
      <c r="AA114" s="3">
        <v>726219</v>
      </c>
      <c r="AC114" s="3">
        <f t="shared" si="12"/>
        <v>0</v>
      </c>
      <c r="AE114" s="3">
        <f t="shared" si="7"/>
        <v>0</v>
      </c>
    </row>
    <row r="115" spans="1:31" ht="12" hidden="1" customHeight="1">
      <c r="A115" s="16" t="s">
        <v>349</v>
      </c>
      <c r="C115" s="3" t="s">
        <v>209</v>
      </c>
      <c r="E115" s="12">
        <v>49254</v>
      </c>
      <c r="G115" s="3">
        <f t="shared" si="9"/>
        <v>0</v>
      </c>
      <c r="M115" s="3">
        <f t="shared" si="10"/>
        <v>0</v>
      </c>
      <c r="W115" s="3">
        <f t="shared" si="11"/>
        <v>0</v>
      </c>
      <c r="AC115" s="3">
        <f t="shared" si="12"/>
        <v>0</v>
      </c>
      <c r="AE115" s="3">
        <f t="shared" si="7"/>
        <v>0</v>
      </c>
    </row>
    <row r="116" spans="1:31" ht="12" customHeight="1">
      <c r="A116" s="3" t="s">
        <v>210</v>
      </c>
      <c r="C116" s="3" t="s">
        <v>211</v>
      </c>
      <c r="E116" s="12">
        <v>49304</v>
      </c>
      <c r="G116" s="3">
        <f t="shared" si="9"/>
        <v>2120835</v>
      </c>
      <c r="I116" s="3">
        <v>3957749</v>
      </c>
      <c r="K116" s="3">
        <v>6078584</v>
      </c>
      <c r="M116" s="3">
        <f t="shared" si="10"/>
        <v>657398</v>
      </c>
      <c r="O116" s="3">
        <v>184294</v>
      </c>
      <c r="Q116" s="3">
        <v>1004289</v>
      </c>
      <c r="S116" s="3">
        <v>1845981</v>
      </c>
      <c r="U116" s="3">
        <v>3264101</v>
      </c>
      <c r="W116" s="3">
        <f t="shared" si="11"/>
        <v>642476</v>
      </c>
      <c r="Y116" s="3">
        <v>326026</v>
      </c>
      <c r="AA116" s="3">
        <v>4232603</v>
      </c>
      <c r="AC116" s="3">
        <f t="shared" si="12"/>
        <v>0</v>
      </c>
      <c r="AE116" s="3">
        <f t="shared" si="7"/>
        <v>0</v>
      </c>
    </row>
    <row r="117" spans="1:31" ht="12" customHeight="1">
      <c r="A117" s="3" t="s">
        <v>213</v>
      </c>
      <c r="C117" s="3" t="s">
        <v>214</v>
      </c>
      <c r="E117" s="12">
        <v>138222</v>
      </c>
      <c r="G117" s="3">
        <f t="shared" si="9"/>
        <v>4371896</v>
      </c>
      <c r="I117" s="3">
        <v>183790</v>
      </c>
      <c r="K117" s="3">
        <v>4555686</v>
      </c>
      <c r="M117" s="3">
        <f t="shared" si="10"/>
        <v>1263424</v>
      </c>
      <c r="O117" s="3">
        <v>82460</v>
      </c>
      <c r="Q117" s="3">
        <v>329763</v>
      </c>
      <c r="S117" s="3">
        <v>1675647</v>
      </c>
      <c r="U117" s="3">
        <v>183790</v>
      </c>
      <c r="W117" s="3">
        <f t="shared" si="11"/>
        <v>241127</v>
      </c>
      <c r="Y117" s="3">
        <v>2455122</v>
      </c>
      <c r="AA117" s="3">
        <v>2880039</v>
      </c>
      <c r="AC117" s="3">
        <f t="shared" si="12"/>
        <v>0</v>
      </c>
      <c r="AE117" s="3">
        <f t="shared" si="7"/>
        <v>0</v>
      </c>
    </row>
    <row r="118" spans="1:31" ht="12" hidden="1" customHeight="1">
      <c r="A118" s="3" t="s">
        <v>386</v>
      </c>
      <c r="C118" s="3" t="s">
        <v>216</v>
      </c>
      <c r="E118" s="12">
        <v>49551</v>
      </c>
      <c r="G118" s="3">
        <f t="shared" si="9"/>
        <v>0</v>
      </c>
      <c r="M118" s="3">
        <f t="shared" si="10"/>
        <v>0</v>
      </c>
      <c r="W118" s="3">
        <f t="shared" si="11"/>
        <v>0</v>
      </c>
      <c r="AC118" s="3">
        <f t="shared" si="12"/>
        <v>0</v>
      </c>
      <c r="AE118" s="3">
        <f>+G118+I118-M118-O118-U118-W118-Y118-Q118</f>
        <v>0</v>
      </c>
    </row>
    <row r="119" spans="1:31" ht="12" customHeight="1">
      <c r="A119" s="3" t="s">
        <v>219</v>
      </c>
      <c r="C119" s="3" t="s">
        <v>220</v>
      </c>
      <c r="E119" s="12">
        <v>49742</v>
      </c>
      <c r="G119" s="3">
        <f t="shared" si="9"/>
        <v>1246144</v>
      </c>
      <c r="I119" s="3">
        <v>178883</v>
      </c>
      <c r="K119" s="3">
        <v>1425027</v>
      </c>
      <c r="M119" s="3">
        <f t="shared" si="10"/>
        <v>620382</v>
      </c>
      <c r="O119" s="3">
        <v>48114</v>
      </c>
      <c r="Q119" s="3">
        <v>119828</v>
      </c>
      <c r="S119" s="3">
        <v>788324</v>
      </c>
      <c r="U119" s="3">
        <v>120186</v>
      </c>
      <c r="W119" s="3">
        <f t="shared" si="11"/>
        <v>297642</v>
      </c>
      <c r="Y119" s="3">
        <v>218875</v>
      </c>
      <c r="AA119" s="3">
        <v>636703</v>
      </c>
      <c r="AC119" s="3">
        <f t="shared" si="12"/>
        <v>0</v>
      </c>
      <c r="AE119" s="3">
        <f t="shared" ref="AE119:AE130" si="13">+G119+I119-M119-O119-U119-W119-Y119-Q119</f>
        <v>0</v>
      </c>
    </row>
    <row r="120" spans="1:31" ht="12" customHeight="1">
      <c r="A120" s="3" t="s">
        <v>324</v>
      </c>
      <c r="C120" s="3" t="s">
        <v>217</v>
      </c>
      <c r="E120" s="12">
        <v>125658</v>
      </c>
      <c r="G120" s="3">
        <f t="shared" si="9"/>
        <v>1755011</v>
      </c>
      <c r="I120" s="3">
        <v>150582</v>
      </c>
      <c r="K120" s="3">
        <v>1905593</v>
      </c>
      <c r="M120" s="3">
        <f t="shared" si="10"/>
        <v>894225</v>
      </c>
      <c r="O120" s="3">
        <v>137642</v>
      </c>
      <c r="Q120" s="3">
        <v>237542</v>
      </c>
      <c r="S120" s="3">
        <v>1269409</v>
      </c>
      <c r="U120" s="3">
        <v>108276</v>
      </c>
      <c r="W120" s="3">
        <f t="shared" si="11"/>
        <v>221852</v>
      </c>
      <c r="Y120" s="3">
        <v>306056</v>
      </c>
      <c r="AA120" s="3">
        <v>636184</v>
      </c>
      <c r="AC120" s="3">
        <f t="shared" si="12"/>
        <v>0</v>
      </c>
      <c r="AE120" s="3">
        <f t="shared" si="13"/>
        <v>0</v>
      </c>
    </row>
    <row r="121" spans="1:31" ht="12" customHeight="1">
      <c r="A121" s="3" t="s">
        <v>323</v>
      </c>
      <c r="C121" s="3" t="s">
        <v>164</v>
      </c>
      <c r="G121" s="3">
        <f>+K121-I121</f>
        <v>2961142</v>
      </c>
      <c r="I121" s="3">
        <f>31490+374772</f>
        <v>406262</v>
      </c>
      <c r="K121" s="3">
        <v>3367404</v>
      </c>
      <c r="M121" s="3">
        <f>+S121-O121-Q121</f>
        <v>248704</v>
      </c>
      <c r="O121" s="3">
        <v>33214</v>
      </c>
      <c r="Q121" s="3">
        <v>284930</v>
      </c>
      <c r="S121" s="3">
        <v>566848</v>
      </c>
      <c r="U121" s="3">
        <v>406262</v>
      </c>
      <c r="W121" s="3">
        <f>AA121-Y121-U121</f>
        <v>162987</v>
      </c>
      <c r="Y121" s="3">
        <v>2231307</v>
      </c>
      <c r="AA121" s="3">
        <v>2800556</v>
      </c>
      <c r="AC121" s="3">
        <f>+K121-S121-AA121</f>
        <v>0</v>
      </c>
      <c r="AE121" s="3">
        <f>+G121+I121-M121-O121-U121-W121-Y121-Q121</f>
        <v>0</v>
      </c>
    </row>
    <row r="122" spans="1:31" ht="12" customHeight="1">
      <c r="A122" s="16" t="s">
        <v>355</v>
      </c>
      <c r="C122" s="3" t="s">
        <v>221</v>
      </c>
      <c r="E122" s="12">
        <v>49825</v>
      </c>
      <c r="G122" s="3">
        <f t="shared" si="9"/>
        <v>4572811</v>
      </c>
      <c r="I122" s="3">
        <v>1444163</v>
      </c>
      <c r="K122" s="3">
        <v>6016974</v>
      </c>
      <c r="M122" s="3">
        <f t="shared" si="10"/>
        <v>2466366</v>
      </c>
      <c r="O122" s="3">
        <v>122192</v>
      </c>
      <c r="Q122" s="3">
        <v>740183</v>
      </c>
      <c r="S122" s="3">
        <v>3328741</v>
      </c>
      <c r="U122" s="3">
        <v>1444163</v>
      </c>
      <c r="W122" s="3">
        <f t="shared" si="11"/>
        <v>475171</v>
      </c>
      <c r="Y122" s="3">
        <v>768899</v>
      </c>
      <c r="AA122" s="3">
        <v>2688233</v>
      </c>
      <c r="AC122" s="3">
        <f t="shared" si="12"/>
        <v>0</v>
      </c>
      <c r="AE122" s="3">
        <f t="shared" si="13"/>
        <v>0</v>
      </c>
    </row>
    <row r="123" spans="1:31" ht="12" customHeight="1">
      <c r="A123" s="3" t="s">
        <v>222</v>
      </c>
      <c r="C123" s="3" t="s">
        <v>223</v>
      </c>
      <c r="E123" s="12">
        <v>49965</v>
      </c>
      <c r="G123" s="3">
        <f t="shared" si="9"/>
        <v>9161427</v>
      </c>
      <c r="I123" s="3">
        <f>207778+1836642</f>
        <v>2044420</v>
      </c>
      <c r="K123" s="3">
        <v>11205847</v>
      </c>
      <c r="M123" s="3">
        <f t="shared" si="10"/>
        <v>1501352</v>
      </c>
      <c r="O123" s="3">
        <v>96773</v>
      </c>
      <c r="Q123" s="3">
        <v>1203371</v>
      </c>
      <c r="S123" s="3">
        <v>2801496</v>
      </c>
      <c r="U123" s="3">
        <v>934281</v>
      </c>
      <c r="W123" s="3">
        <f t="shared" si="11"/>
        <v>673040</v>
      </c>
      <c r="Y123" s="3">
        <v>6797030</v>
      </c>
      <c r="AA123" s="3">
        <v>8404351</v>
      </c>
      <c r="AC123" s="3">
        <f t="shared" si="12"/>
        <v>0</v>
      </c>
      <c r="AE123" s="3">
        <f t="shared" si="13"/>
        <v>0</v>
      </c>
    </row>
    <row r="124" spans="1:31" ht="12" customHeight="1">
      <c r="A124" s="3" t="s">
        <v>233</v>
      </c>
      <c r="C124" s="3" t="s">
        <v>234</v>
      </c>
      <c r="E124" s="12">
        <v>50526</v>
      </c>
      <c r="G124" s="3">
        <f t="shared" si="9"/>
        <v>4848706</v>
      </c>
      <c r="I124" s="3">
        <v>468340</v>
      </c>
      <c r="K124" s="3">
        <v>5317046</v>
      </c>
      <c r="M124" s="3">
        <f t="shared" si="10"/>
        <v>1546922</v>
      </c>
      <c r="O124" s="3">
        <v>240746</v>
      </c>
      <c r="Q124" s="3">
        <v>221071</v>
      </c>
      <c r="S124" s="3">
        <v>2008739</v>
      </c>
      <c r="U124" s="3">
        <v>468340</v>
      </c>
      <c r="W124" s="3">
        <f t="shared" si="11"/>
        <v>166873</v>
      </c>
      <c r="Y124" s="3">
        <v>2673094</v>
      </c>
      <c r="AA124" s="3">
        <v>3308307</v>
      </c>
      <c r="AC124" s="3">
        <f t="shared" si="12"/>
        <v>0</v>
      </c>
      <c r="AE124" s="3">
        <f t="shared" si="13"/>
        <v>0</v>
      </c>
    </row>
    <row r="125" spans="1:31" ht="12" customHeight="1">
      <c r="A125" s="3" t="s">
        <v>224</v>
      </c>
      <c r="C125" s="3" t="s">
        <v>225</v>
      </c>
      <c r="E125" s="12">
        <v>50088</v>
      </c>
      <c r="G125" s="3">
        <f t="shared" si="9"/>
        <v>7781026</v>
      </c>
      <c r="I125" s="3">
        <v>281089</v>
      </c>
      <c r="K125" s="3">
        <v>8062115</v>
      </c>
      <c r="M125" s="3">
        <f t="shared" si="10"/>
        <v>2263918</v>
      </c>
      <c r="O125" s="3">
        <v>87312</v>
      </c>
      <c r="Q125" s="3">
        <v>648906</v>
      </c>
      <c r="S125" s="3">
        <v>3000136</v>
      </c>
      <c r="U125" s="3">
        <v>281089</v>
      </c>
      <c r="W125" s="3">
        <f t="shared" si="11"/>
        <v>19102</v>
      </c>
      <c r="Y125" s="3">
        <v>4761788</v>
      </c>
      <c r="AA125" s="3">
        <v>5061979</v>
      </c>
      <c r="AC125" s="3">
        <f t="shared" si="12"/>
        <v>0</v>
      </c>
      <c r="AE125" s="3">
        <f t="shared" si="13"/>
        <v>0</v>
      </c>
    </row>
    <row r="126" spans="1:31" ht="12" hidden="1" customHeight="1">
      <c r="A126" s="3" t="s">
        <v>385</v>
      </c>
      <c r="C126" s="3" t="s">
        <v>227</v>
      </c>
      <c r="E126" s="12">
        <v>50260</v>
      </c>
      <c r="AE126" s="3">
        <f t="shared" si="13"/>
        <v>0</v>
      </c>
    </row>
    <row r="127" spans="1:31" ht="12" hidden="1" customHeight="1">
      <c r="A127" s="3" t="s">
        <v>352</v>
      </c>
      <c r="C127" s="3" t="s">
        <v>231</v>
      </c>
      <c r="E127" s="12">
        <v>50401</v>
      </c>
      <c r="G127" s="3">
        <f t="shared" si="9"/>
        <v>0</v>
      </c>
      <c r="M127" s="3">
        <f t="shared" si="10"/>
        <v>0</v>
      </c>
      <c r="W127" s="3">
        <f t="shared" si="11"/>
        <v>0</v>
      </c>
      <c r="AC127" s="3">
        <f t="shared" si="12"/>
        <v>0</v>
      </c>
      <c r="AE127" s="3">
        <f t="shared" si="13"/>
        <v>0</v>
      </c>
    </row>
    <row r="128" spans="1:31" ht="12" hidden="1" customHeight="1">
      <c r="A128" s="3" t="s">
        <v>387</v>
      </c>
      <c r="C128" s="3" t="s">
        <v>232</v>
      </c>
      <c r="E128" s="12">
        <v>50476</v>
      </c>
      <c r="AC128" s="3">
        <f t="shared" si="12"/>
        <v>0</v>
      </c>
      <c r="AE128" s="3">
        <f t="shared" si="13"/>
        <v>0</v>
      </c>
    </row>
    <row r="129" spans="1:31" ht="12" customHeight="1">
      <c r="A129" s="3" t="s">
        <v>228</v>
      </c>
      <c r="C129" s="3" t="s">
        <v>317</v>
      </c>
      <c r="E129" s="12">
        <v>134999</v>
      </c>
      <c r="G129" s="3">
        <f t="shared" si="9"/>
        <v>1007212</v>
      </c>
      <c r="I129" s="3">
        <f>28910+168192</f>
        <v>197102</v>
      </c>
      <c r="K129" s="3">
        <v>1204314</v>
      </c>
      <c r="M129" s="3">
        <f t="shared" si="10"/>
        <v>570692</v>
      </c>
      <c r="O129" s="3">
        <v>25300</v>
      </c>
      <c r="Q129" s="3">
        <v>193404</v>
      </c>
      <c r="S129" s="3">
        <v>789396</v>
      </c>
      <c r="U129" s="3">
        <v>197102</v>
      </c>
      <c r="W129" s="3">
        <f t="shared" si="11"/>
        <v>9576</v>
      </c>
      <c r="Y129" s="3">
        <v>208240</v>
      </c>
      <c r="AA129" s="3">
        <v>414918</v>
      </c>
      <c r="AC129" s="3">
        <f t="shared" si="12"/>
        <v>0</v>
      </c>
      <c r="AE129" s="3">
        <f t="shared" si="13"/>
        <v>0</v>
      </c>
    </row>
    <row r="130" spans="1:31" ht="12" customHeight="1">
      <c r="A130" s="3" t="s">
        <v>235</v>
      </c>
      <c r="C130" s="3" t="s">
        <v>236</v>
      </c>
      <c r="E130" s="12">
        <v>50666</v>
      </c>
      <c r="G130" s="3">
        <f t="shared" si="9"/>
        <v>7035141</v>
      </c>
      <c r="I130" s="3">
        <f>112500+1873288</f>
        <v>1985788</v>
      </c>
      <c r="K130" s="3">
        <v>9020929</v>
      </c>
      <c r="M130" s="3">
        <f t="shared" si="10"/>
        <v>2118637</v>
      </c>
      <c r="O130" s="3">
        <v>98375</v>
      </c>
      <c r="Q130" s="3">
        <v>748545</v>
      </c>
      <c r="S130" s="3">
        <v>2965557</v>
      </c>
      <c r="U130" s="3">
        <v>1985788</v>
      </c>
      <c r="W130" s="3">
        <f t="shared" si="11"/>
        <v>1801521</v>
      </c>
      <c r="Y130" s="3">
        <v>2268063</v>
      </c>
      <c r="AA130" s="3">
        <v>6055372</v>
      </c>
      <c r="AC130" s="3">
        <f t="shared" si="12"/>
        <v>0</v>
      </c>
      <c r="AE130" s="3">
        <f t="shared" si="13"/>
        <v>0</v>
      </c>
    </row>
    <row r="131" spans="1:31" ht="12" customHeight="1"/>
  </sheetData>
  <mergeCells count="3">
    <mergeCell ref="U8:Y8"/>
    <mergeCell ref="G8:I8"/>
    <mergeCell ref="O8:Q8"/>
  </mergeCells>
  <phoneticPr fontId="3" type="noConversion"/>
  <pageMargins left="0.9" right="0.75" top="0.5" bottom="0.5" header="0.25" footer="0.25"/>
  <pageSetup scale="80" firstPageNumber="6" pageOrder="overThenDown" orientation="portrait" useFirstPageNumber="1" r:id="rId1"/>
  <headerFooter scaleWithDoc="0" alignWithMargins="0">
    <oddFooter>&amp;C&amp;"Times New Roman,Regular"&amp;12&amp;P</oddFooter>
  </headerFooter>
  <rowBreaks count="1" manualBreakCount="1">
    <brk id="66" max="16383" man="1"/>
  </rowBreaks>
  <colBreaks count="1" manualBreakCount="1">
    <brk id="13" max="1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45"/>
  <sheetViews>
    <sheetView zoomScaleNormal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7" sqref="A7"/>
    </sheetView>
  </sheetViews>
  <sheetFormatPr defaultColWidth="9.140625" defaultRowHeight="12"/>
  <cols>
    <col min="1" max="1" width="40.7109375" style="16" customWidth="1"/>
    <col min="2" max="2" width="1.7109375" style="16" customWidth="1"/>
    <col min="3" max="3" width="8.7109375" style="16" customWidth="1"/>
    <col min="4" max="4" width="1.7109375" style="16" hidden="1" customWidth="1"/>
    <col min="5" max="5" width="11.7109375" style="16" hidden="1" customWidth="1"/>
    <col min="6" max="6" width="1.7109375" style="16" customWidth="1"/>
    <col min="7" max="7" width="11.7109375" style="16" customWidth="1"/>
    <col min="8" max="8" width="1.7109375" style="16" customWidth="1"/>
    <col min="9" max="9" width="11.7109375" style="16" customWidth="1"/>
    <col min="10" max="10" width="1.7109375" style="16" customWidth="1"/>
    <col min="11" max="11" width="11.7109375" style="16" customWidth="1"/>
    <col min="12" max="12" width="1.7109375" style="16" customWidth="1"/>
    <col min="13" max="13" width="11.7109375" style="16" customWidth="1"/>
    <col min="14" max="14" width="1.7109375" style="16" customWidth="1"/>
    <col min="15" max="15" width="11.7109375" style="16" customWidth="1"/>
    <col min="16" max="16" width="1.7109375" style="16" customWidth="1"/>
    <col min="17" max="17" width="11.7109375" style="16" customWidth="1"/>
    <col min="18" max="18" width="1.7109375" style="16" customWidth="1"/>
    <col min="19" max="19" width="12.42578125" style="16" customWidth="1"/>
    <col min="20" max="20" width="1.7109375" style="16" customWidth="1"/>
    <col min="21" max="21" width="11.7109375" style="16" customWidth="1"/>
    <col min="22" max="22" width="2.42578125" style="16" customWidth="1"/>
    <col min="23" max="23" width="11.7109375" style="16" customWidth="1"/>
    <col min="24" max="24" width="1.7109375" style="16" customWidth="1"/>
    <col min="25" max="16384" width="9.140625" style="16"/>
  </cols>
  <sheetData>
    <row r="1" spans="1:27" s="7" customFormat="1">
      <c r="A1" s="48" t="s">
        <v>135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7" s="7" customFormat="1">
      <c r="A2" s="48" t="s">
        <v>357</v>
      </c>
      <c r="B2" s="48"/>
      <c r="C2" s="48"/>
      <c r="D2" s="48"/>
      <c r="E2" s="4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7" s="7" customFormat="1">
      <c r="A3" s="4"/>
      <c r="B3" s="4"/>
      <c r="C3" s="4"/>
      <c r="D3" s="4"/>
      <c r="E3" s="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7" s="3" customFormat="1">
      <c r="A4" s="19" t="s">
        <v>316</v>
      </c>
    </row>
    <row r="5" spans="1:27" s="3" customFormat="1">
      <c r="A5" s="19"/>
    </row>
    <row r="6" spans="1:27" s="7" customFormat="1">
      <c r="A6" s="48"/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W6" s="11" t="s">
        <v>1</v>
      </c>
    </row>
    <row r="7" spans="1:27" s="11" customForma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W7" s="11" t="s">
        <v>136</v>
      </c>
    </row>
    <row r="8" spans="1:27" s="11" customFormat="1">
      <c r="A8" s="20"/>
      <c r="B8" s="2"/>
      <c r="C8" s="2"/>
      <c r="D8" s="2"/>
      <c r="E8" s="2"/>
      <c r="F8" s="2"/>
      <c r="G8" s="2" t="s">
        <v>27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</v>
      </c>
      <c r="W8" s="11" t="s">
        <v>137</v>
      </c>
    </row>
    <row r="9" spans="1:27" s="11" customFormat="1">
      <c r="A9" s="2"/>
      <c r="B9" s="2"/>
      <c r="C9" s="2"/>
      <c r="D9" s="2"/>
      <c r="E9" s="2"/>
      <c r="F9" s="2"/>
      <c r="G9" s="2" t="s">
        <v>138</v>
      </c>
      <c r="H9" s="2"/>
      <c r="I9" s="2"/>
      <c r="J9" s="2"/>
      <c r="K9" s="2" t="s">
        <v>139</v>
      </c>
      <c r="L9" s="2"/>
      <c r="M9" s="2" t="s">
        <v>6</v>
      </c>
      <c r="N9" s="2"/>
      <c r="O9" s="2" t="s">
        <v>140</v>
      </c>
      <c r="P9" s="2"/>
      <c r="Q9" s="2" t="s">
        <v>271</v>
      </c>
      <c r="R9" s="2"/>
      <c r="S9" s="2" t="s">
        <v>393</v>
      </c>
      <c r="T9" s="2"/>
      <c r="U9" s="11" t="s">
        <v>141</v>
      </c>
      <c r="W9" s="11" t="s">
        <v>142</v>
      </c>
    </row>
    <row r="10" spans="1:27" s="11" customFormat="1">
      <c r="A10" s="72" t="s">
        <v>354</v>
      </c>
      <c r="C10" s="72" t="s">
        <v>12</v>
      </c>
      <c r="E10" s="72" t="s">
        <v>13</v>
      </c>
      <c r="F10" s="2"/>
      <c r="G10" s="72" t="s">
        <v>143</v>
      </c>
      <c r="H10" s="2"/>
      <c r="I10" s="72" t="s">
        <v>144</v>
      </c>
      <c r="J10" s="2"/>
      <c r="K10" s="72" t="s">
        <v>145</v>
      </c>
      <c r="L10" s="2"/>
      <c r="M10" s="72" t="s">
        <v>146</v>
      </c>
      <c r="N10" s="2"/>
      <c r="O10" s="72" t="s">
        <v>147</v>
      </c>
      <c r="P10" s="2"/>
      <c r="Q10" s="72" t="s">
        <v>148</v>
      </c>
      <c r="R10" s="2"/>
      <c r="S10" s="72" t="s">
        <v>148</v>
      </c>
      <c r="T10" s="2"/>
      <c r="U10" s="72" t="s">
        <v>149</v>
      </c>
      <c r="V10" s="2"/>
      <c r="W10" s="72" t="s">
        <v>3</v>
      </c>
    </row>
    <row r="11" spans="1:27" s="11" customFormat="1">
      <c r="A11" s="2"/>
      <c r="C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7" ht="12.75">
      <c r="A12" s="39" t="s">
        <v>308</v>
      </c>
      <c r="B12" s="18"/>
    </row>
    <row r="13" spans="1:27" ht="12.75">
      <c r="A13" s="39"/>
      <c r="B13" s="18"/>
    </row>
    <row r="14" spans="1:27">
      <c r="A14" s="3" t="s">
        <v>359</v>
      </c>
      <c r="B14" s="3"/>
      <c r="C14" s="3" t="s">
        <v>321</v>
      </c>
      <c r="G14" s="34">
        <v>0</v>
      </c>
      <c r="H14" s="34"/>
      <c r="I14" s="34">
        <v>936863</v>
      </c>
      <c r="J14" s="34"/>
      <c r="K14" s="34">
        <v>0</v>
      </c>
      <c r="L14" s="34"/>
      <c r="M14" s="34">
        <v>0</v>
      </c>
      <c r="N14" s="34"/>
      <c r="O14" s="34">
        <v>811531</v>
      </c>
      <c r="P14" s="34"/>
      <c r="Q14" s="34">
        <v>0</v>
      </c>
      <c r="R14" s="34"/>
      <c r="S14" s="62">
        <f>SUM(G14:R14)</f>
        <v>1748394</v>
      </c>
      <c r="T14" s="34"/>
      <c r="U14" s="34">
        <v>301026</v>
      </c>
      <c r="V14" s="34"/>
      <c r="W14" s="34">
        <f>'St of Net Assets'!O14-U14</f>
        <v>0</v>
      </c>
      <c r="X14" s="34"/>
      <c r="Y14" s="34"/>
      <c r="Z14" s="34"/>
      <c r="AA14" s="34"/>
    </row>
    <row r="15" spans="1:27">
      <c r="A15" s="3" t="s">
        <v>286</v>
      </c>
      <c r="C15" s="16" t="s">
        <v>151</v>
      </c>
      <c r="E15" s="16">
        <v>62042</v>
      </c>
      <c r="G15" s="3">
        <f>393173+8679+551666</f>
        <v>953518</v>
      </c>
      <c r="H15" s="3"/>
      <c r="I15" s="3">
        <v>66223</v>
      </c>
      <c r="J15" s="3"/>
      <c r="K15" s="3">
        <v>0</v>
      </c>
      <c r="L15" s="3"/>
      <c r="M15" s="3">
        <v>0</v>
      </c>
      <c r="N15" s="3"/>
      <c r="O15" s="3">
        <v>311551</v>
      </c>
      <c r="P15" s="3"/>
      <c r="Q15" s="3">
        <v>0</v>
      </c>
      <c r="R15" s="3"/>
      <c r="S15" s="17">
        <f>SUM(G15:R15)</f>
        <v>1331292</v>
      </c>
      <c r="T15" s="3"/>
      <c r="U15" s="3">
        <v>117036</v>
      </c>
      <c r="V15" s="3"/>
      <c r="W15" s="3">
        <f>'St of Net Assets'!O15-U15</f>
        <v>0</v>
      </c>
    </row>
    <row r="16" spans="1:27">
      <c r="A16" s="3" t="s">
        <v>237</v>
      </c>
      <c r="C16" s="16" t="s">
        <v>152</v>
      </c>
      <c r="E16" s="16">
        <v>50815</v>
      </c>
      <c r="G16" s="3">
        <v>0</v>
      </c>
      <c r="H16" s="3"/>
      <c r="I16" s="3">
        <v>0</v>
      </c>
      <c r="J16" s="3"/>
      <c r="K16" s="3">
        <v>0</v>
      </c>
      <c r="L16" s="3"/>
      <c r="M16" s="3">
        <v>0</v>
      </c>
      <c r="N16" s="3"/>
      <c r="O16" s="3">
        <v>947437</v>
      </c>
      <c r="P16" s="3"/>
      <c r="Q16" s="3">
        <v>0</v>
      </c>
      <c r="R16" s="3"/>
      <c r="S16" s="17">
        <f>SUM(G16:R16)</f>
        <v>947437</v>
      </c>
      <c r="T16" s="3"/>
      <c r="U16" s="3">
        <v>126075</v>
      </c>
      <c r="V16" s="3"/>
      <c r="W16" s="3">
        <f>'St of Net Assets'!O16-U16</f>
        <v>0</v>
      </c>
    </row>
    <row r="17" spans="1:23">
      <c r="A17" s="3" t="s">
        <v>360</v>
      </c>
      <c r="C17" s="16" t="s">
        <v>154</v>
      </c>
      <c r="E17" s="16">
        <v>51169</v>
      </c>
      <c r="G17" s="3">
        <v>0</v>
      </c>
      <c r="H17" s="3"/>
      <c r="I17" s="3">
        <v>0</v>
      </c>
      <c r="J17" s="3"/>
      <c r="K17" s="3">
        <v>0</v>
      </c>
      <c r="L17" s="3"/>
      <c r="M17" s="3">
        <v>0</v>
      </c>
      <c r="N17" s="3"/>
      <c r="O17" s="3">
        <v>549638</v>
      </c>
      <c r="P17" s="3"/>
      <c r="Q17" s="3">
        <v>0</v>
      </c>
      <c r="R17" s="3"/>
      <c r="S17" s="17">
        <f t="shared" ref="S17:S64" si="0">SUM(G17:R17)</f>
        <v>549638</v>
      </c>
      <c r="T17" s="3"/>
      <c r="U17" s="3">
        <v>65304</v>
      </c>
      <c r="V17" s="3"/>
      <c r="W17" s="3">
        <f>'St of Net Assets'!O17-U17</f>
        <v>0</v>
      </c>
    </row>
    <row r="18" spans="1:23">
      <c r="A18" s="3" t="s">
        <v>361</v>
      </c>
      <c r="C18" s="16" t="s">
        <v>157</v>
      </c>
      <c r="E18" s="16">
        <v>50856</v>
      </c>
      <c r="G18" s="3">
        <v>0</v>
      </c>
      <c r="H18" s="3"/>
      <c r="I18" s="3">
        <v>300002</v>
      </c>
      <c r="J18" s="3"/>
      <c r="K18" s="3">
        <v>0</v>
      </c>
      <c r="L18" s="3"/>
      <c r="M18" s="3">
        <v>0</v>
      </c>
      <c r="N18" s="3"/>
      <c r="O18" s="3">
        <v>1151088</v>
      </c>
      <c r="P18" s="3"/>
      <c r="Q18" s="3">
        <v>0</v>
      </c>
      <c r="R18" s="3"/>
      <c r="S18" s="17">
        <f t="shared" si="0"/>
        <v>1451090</v>
      </c>
      <c r="T18" s="3"/>
      <c r="U18" s="3">
        <v>94223</v>
      </c>
      <c r="V18" s="3"/>
      <c r="W18" s="3">
        <f>'St of Net Assets'!O18-U18</f>
        <v>0</v>
      </c>
    </row>
    <row r="19" spans="1:23">
      <c r="A19" s="3" t="s">
        <v>256</v>
      </c>
      <c r="C19" s="16" t="s">
        <v>227</v>
      </c>
      <c r="E19" s="16">
        <v>51656</v>
      </c>
      <c r="G19" s="3">
        <v>0</v>
      </c>
      <c r="H19" s="3"/>
      <c r="I19" s="3">
        <v>0</v>
      </c>
      <c r="J19" s="3"/>
      <c r="K19" s="3">
        <v>0</v>
      </c>
      <c r="L19" s="3"/>
      <c r="M19" s="3">
        <v>189358</v>
      </c>
      <c r="N19" s="3"/>
      <c r="O19" s="3">
        <v>459646</v>
      </c>
      <c r="P19" s="3"/>
      <c r="Q19" s="3">
        <v>0</v>
      </c>
      <c r="R19" s="3"/>
      <c r="S19" s="17">
        <f t="shared" si="0"/>
        <v>649004</v>
      </c>
      <c r="T19" s="3"/>
      <c r="U19" s="3">
        <v>57372</v>
      </c>
      <c r="V19" s="3"/>
      <c r="W19" s="3">
        <f>'St of Net Assets'!O19-U19</f>
        <v>0</v>
      </c>
    </row>
    <row r="20" spans="1:23">
      <c r="A20" s="3" t="s">
        <v>337</v>
      </c>
      <c r="C20" s="16" t="s">
        <v>155</v>
      </c>
      <c r="E20" s="16">
        <v>50880</v>
      </c>
      <c r="G20" s="3">
        <v>0</v>
      </c>
      <c r="H20" s="3"/>
      <c r="I20" s="3">
        <v>0</v>
      </c>
      <c r="J20" s="3"/>
      <c r="K20" s="3">
        <v>0</v>
      </c>
      <c r="L20" s="3"/>
      <c r="M20" s="3">
        <v>0</v>
      </c>
      <c r="N20" s="3"/>
      <c r="O20" s="3">
        <f>2353304+153169</f>
        <v>2506473</v>
      </c>
      <c r="P20" s="3"/>
      <c r="Q20" s="3">
        <v>0</v>
      </c>
      <c r="R20" s="3"/>
      <c r="S20" s="17">
        <f t="shared" si="0"/>
        <v>2506473</v>
      </c>
      <c r="T20" s="3"/>
      <c r="U20" s="3">
        <f>18596+295237</f>
        <v>313833</v>
      </c>
      <c r="V20" s="3"/>
      <c r="W20" s="3">
        <f>'St of Net Assets'!O20-U20</f>
        <v>0</v>
      </c>
    </row>
    <row r="21" spans="1:23" hidden="1">
      <c r="A21" s="3" t="s">
        <v>340</v>
      </c>
      <c r="C21" s="16" t="s">
        <v>248</v>
      </c>
      <c r="E21" s="16">
        <v>63511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7">
        <f t="shared" si="0"/>
        <v>0</v>
      </c>
      <c r="T21" s="3"/>
      <c r="U21" s="3"/>
      <c r="V21" s="3"/>
      <c r="W21" s="3">
        <f>'St of Net Assets'!O21-U21</f>
        <v>0</v>
      </c>
    </row>
    <row r="22" spans="1:23">
      <c r="A22" s="3" t="s">
        <v>338</v>
      </c>
      <c r="C22" s="16" t="s">
        <v>165</v>
      </c>
      <c r="E22" s="16">
        <v>50906</v>
      </c>
      <c r="G22" s="3">
        <v>0</v>
      </c>
      <c r="H22" s="3"/>
      <c r="I22" s="3">
        <v>0</v>
      </c>
      <c r="J22" s="3"/>
      <c r="K22" s="3">
        <v>0</v>
      </c>
      <c r="L22" s="3"/>
      <c r="M22" s="3">
        <v>0</v>
      </c>
      <c r="N22" s="3"/>
      <c r="O22" s="3">
        <v>295606</v>
      </c>
      <c r="P22" s="3"/>
      <c r="Q22" s="3">
        <v>0</v>
      </c>
      <c r="R22" s="3"/>
      <c r="S22" s="17">
        <f t="shared" si="0"/>
        <v>295606</v>
      </c>
      <c r="T22" s="3"/>
      <c r="U22" s="3">
        <v>78054</v>
      </c>
      <c r="V22" s="3"/>
      <c r="W22" s="3">
        <f>'St of Net Assets'!O22-U22</f>
        <v>0</v>
      </c>
    </row>
    <row r="23" spans="1:23">
      <c r="A23" s="3" t="s">
        <v>291</v>
      </c>
      <c r="C23" s="16" t="s">
        <v>240</v>
      </c>
      <c r="E23" s="16">
        <v>65227</v>
      </c>
      <c r="G23" s="3">
        <v>0</v>
      </c>
      <c r="H23" s="3"/>
      <c r="I23" s="3">
        <f>142500+43900</f>
        <v>186400</v>
      </c>
      <c r="J23" s="3"/>
      <c r="K23" s="3">
        <v>0</v>
      </c>
      <c r="L23" s="3"/>
      <c r="M23" s="3">
        <v>33790</v>
      </c>
      <c r="N23" s="3"/>
      <c r="O23" s="3">
        <v>293391</v>
      </c>
      <c r="P23" s="3"/>
      <c r="Q23" s="3">
        <v>0</v>
      </c>
      <c r="R23" s="3"/>
      <c r="S23" s="17">
        <f t="shared" si="0"/>
        <v>513581</v>
      </c>
      <c r="T23" s="3"/>
      <c r="U23" s="3">
        <v>60971</v>
      </c>
      <c r="V23" s="3"/>
      <c r="W23" s="3">
        <f>'St of Net Assets'!O23-U23</f>
        <v>0</v>
      </c>
    </row>
    <row r="24" spans="1:23">
      <c r="A24" s="3" t="s">
        <v>342</v>
      </c>
      <c r="C24" s="16" t="s">
        <v>187</v>
      </c>
      <c r="E24" s="16">
        <v>51201</v>
      </c>
      <c r="G24" s="3">
        <v>32272677</v>
      </c>
      <c r="H24" s="3"/>
      <c r="I24" s="3">
        <v>0</v>
      </c>
      <c r="J24" s="3"/>
      <c r="K24" s="3">
        <v>0</v>
      </c>
      <c r="L24" s="3"/>
      <c r="M24" s="3">
        <v>10450</v>
      </c>
      <c r="N24" s="3"/>
      <c r="O24" s="3">
        <v>894971</v>
      </c>
      <c r="P24" s="3"/>
      <c r="Q24" s="3">
        <v>0</v>
      </c>
      <c r="R24" s="3"/>
      <c r="S24" s="17">
        <f t="shared" si="0"/>
        <v>33178098</v>
      </c>
      <c r="T24" s="3"/>
      <c r="U24" s="3">
        <v>1459773</v>
      </c>
      <c r="V24" s="3"/>
      <c r="W24" s="3">
        <f>'St of Net Assets'!O24-U24</f>
        <v>0</v>
      </c>
    </row>
    <row r="25" spans="1:23">
      <c r="A25" s="3" t="s">
        <v>288</v>
      </c>
      <c r="C25" s="16" t="s">
        <v>167</v>
      </c>
      <c r="E25" s="16">
        <v>50922</v>
      </c>
      <c r="G25" s="3">
        <v>0</v>
      </c>
      <c r="H25" s="3"/>
      <c r="I25" s="3">
        <v>0</v>
      </c>
      <c r="J25" s="3"/>
      <c r="K25" s="3">
        <v>0</v>
      </c>
      <c r="L25" s="3"/>
      <c r="M25" s="3">
        <v>0</v>
      </c>
      <c r="N25" s="3"/>
      <c r="O25" s="3">
        <v>1716050</v>
      </c>
      <c r="P25" s="3"/>
      <c r="Q25" s="3">
        <v>0</v>
      </c>
      <c r="R25" s="3"/>
      <c r="S25" s="17">
        <f t="shared" si="0"/>
        <v>1716050</v>
      </c>
      <c r="T25" s="3"/>
      <c r="U25" s="3">
        <v>92915</v>
      </c>
      <c r="V25" s="3"/>
      <c r="W25" s="3">
        <f>'St of Net Assets'!O25-U25</f>
        <v>0</v>
      </c>
    </row>
    <row r="26" spans="1:23">
      <c r="A26" s="3" t="s">
        <v>287</v>
      </c>
      <c r="C26" s="16" t="s">
        <v>171</v>
      </c>
      <c r="E26" s="16">
        <v>50989</v>
      </c>
      <c r="G26" s="3">
        <v>0</v>
      </c>
      <c r="H26" s="3"/>
      <c r="I26" s="3">
        <v>83333</v>
      </c>
      <c r="J26" s="3"/>
      <c r="K26" s="3">
        <v>0</v>
      </c>
      <c r="L26" s="3"/>
      <c r="M26" s="3">
        <v>0</v>
      </c>
      <c r="N26" s="3"/>
      <c r="O26" s="3">
        <v>1189192</v>
      </c>
      <c r="P26" s="3"/>
      <c r="Q26" s="3">
        <v>0</v>
      </c>
      <c r="R26" s="3"/>
      <c r="S26" s="17">
        <f t="shared" si="0"/>
        <v>1272525</v>
      </c>
      <c r="T26" s="3"/>
      <c r="U26" s="3">
        <v>110635</v>
      </c>
      <c r="V26" s="3"/>
      <c r="W26" s="3">
        <f>'St of Net Assets'!O26-U26</f>
        <v>0</v>
      </c>
    </row>
    <row r="27" spans="1:23" ht="12" customHeight="1">
      <c r="A27" s="3" t="s">
        <v>289</v>
      </c>
      <c r="C27" s="16" t="s">
        <v>175</v>
      </c>
      <c r="E27" s="16">
        <v>51003</v>
      </c>
      <c r="G27" s="3">
        <v>0</v>
      </c>
      <c r="H27" s="3"/>
      <c r="I27" s="3">
        <v>0</v>
      </c>
      <c r="J27" s="3"/>
      <c r="K27" s="3">
        <v>450000</v>
      </c>
      <c r="L27" s="3"/>
      <c r="M27" s="3">
        <v>0</v>
      </c>
      <c r="N27" s="3"/>
      <c r="O27" s="3">
        <f>1618369+6545</f>
        <v>1624914</v>
      </c>
      <c r="P27" s="3"/>
      <c r="Q27" s="3">
        <v>0</v>
      </c>
      <c r="R27" s="3"/>
      <c r="S27" s="17">
        <f t="shared" si="0"/>
        <v>2074914</v>
      </c>
      <c r="T27" s="3"/>
      <c r="U27" s="3">
        <f>686846+41519</f>
        <v>728365</v>
      </c>
      <c r="V27" s="3"/>
      <c r="W27" s="3">
        <f>'St of Net Assets'!O27-U27</f>
        <v>0</v>
      </c>
    </row>
    <row r="28" spans="1:23">
      <c r="A28" s="3" t="s">
        <v>290</v>
      </c>
      <c r="C28" s="16" t="s">
        <v>172</v>
      </c>
      <c r="E28" s="16">
        <v>51029</v>
      </c>
      <c r="G28" s="3">
        <v>0</v>
      </c>
      <c r="H28" s="3"/>
      <c r="I28" s="3">
        <v>0</v>
      </c>
      <c r="J28" s="3"/>
      <c r="K28" s="3">
        <f>1478000+1800000</f>
        <v>3278000</v>
      </c>
      <c r="L28" s="3"/>
      <c r="M28" s="3">
        <v>0</v>
      </c>
      <c r="N28" s="3"/>
      <c r="O28" s="3">
        <v>777094</v>
      </c>
      <c r="P28" s="3"/>
      <c r="Q28" s="3">
        <v>0</v>
      </c>
      <c r="R28" s="3"/>
      <c r="S28" s="17">
        <f t="shared" si="0"/>
        <v>4055094</v>
      </c>
      <c r="T28" s="3"/>
      <c r="U28" s="3">
        <v>264938</v>
      </c>
      <c r="V28" s="3"/>
      <c r="W28" s="3">
        <f>'St of Net Assets'!O28-U28</f>
        <v>0</v>
      </c>
    </row>
    <row r="29" spans="1:23">
      <c r="A29" s="3" t="s">
        <v>292</v>
      </c>
      <c r="C29" s="16" t="s">
        <v>242</v>
      </c>
      <c r="E29" s="16">
        <v>50963</v>
      </c>
      <c r="G29" s="3">
        <v>0</v>
      </c>
      <c r="H29" s="3"/>
      <c r="I29" s="3">
        <v>225024</v>
      </c>
      <c r="J29" s="3"/>
      <c r="K29" s="3">
        <v>0</v>
      </c>
      <c r="L29" s="3"/>
      <c r="M29" s="3">
        <v>0</v>
      </c>
      <c r="N29" s="3"/>
      <c r="O29" s="3">
        <v>1168707</v>
      </c>
      <c r="P29" s="3"/>
      <c r="Q29" s="3">
        <v>0</v>
      </c>
      <c r="R29" s="3"/>
      <c r="S29" s="17">
        <f t="shared" si="0"/>
        <v>1393731</v>
      </c>
      <c r="T29" s="3"/>
      <c r="U29" s="3">
        <v>123861</v>
      </c>
      <c r="V29" s="3"/>
      <c r="W29" s="3">
        <f>'St of Net Assets'!O29-U29</f>
        <v>0</v>
      </c>
    </row>
    <row r="30" spans="1:23">
      <c r="A30" s="3" t="s">
        <v>241</v>
      </c>
      <c r="C30" s="16" t="s">
        <v>178</v>
      </c>
      <c r="E30" s="16">
        <v>62067</v>
      </c>
      <c r="G30" s="3">
        <v>2652000</v>
      </c>
      <c r="H30" s="3"/>
      <c r="I30" s="3">
        <v>0</v>
      </c>
      <c r="J30" s="3"/>
      <c r="K30" s="3">
        <v>0</v>
      </c>
      <c r="L30" s="3"/>
      <c r="M30" s="3">
        <v>0</v>
      </c>
      <c r="N30" s="3"/>
      <c r="O30" s="3">
        <f>491735+50940</f>
        <v>542675</v>
      </c>
      <c r="P30" s="3"/>
      <c r="Q30" s="3">
        <v>0</v>
      </c>
      <c r="R30" s="3"/>
      <c r="S30" s="17">
        <f t="shared" si="0"/>
        <v>3194675</v>
      </c>
      <c r="T30" s="3"/>
      <c r="U30" s="3">
        <v>221455</v>
      </c>
      <c r="V30" s="3"/>
      <c r="W30" s="3">
        <f>'St of Net Assets'!O30-U30</f>
        <v>0</v>
      </c>
    </row>
    <row r="31" spans="1:23">
      <c r="A31" s="3" t="s">
        <v>374</v>
      </c>
      <c r="C31" s="16" t="s">
        <v>181</v>
      </c>
      <c r="E31" s="16">
        <v>51060</v>
      </c>
      <c r="G31" s="3">
        <v>19381124</v>
      </c>
      <c r="H31" s="3"/>
      <c r="I31" s="3">
        <v>0</v>
      </c>
      <c r="J31" s="3"/>
      <c r="K31" s="3">
        <v>0</v>
      </c>
      <c r="L31" s="3"/>
      <c r="M31" s="3">
        <v>0</v>
      </c>
      <c r="N31" s="3"/>
      <c r="O31" s="3">
        <v>2963212</v>
      </c>
      <c r="P31" s="3"/>
      <c r="Q31" s="3">
        <v>0</v>
      </c>
      <c r="R31" s="3"/>
      <c r="S31" s="17">
        <f t="shared" si="0"/>
        <v>22344336</v>
      </c>
      <c r="T31" s="3"/>
      <c r="U31" s="3">
        <v>1694293</v>
      </c>
      <c r="V31" s="3"/>
      <c r="W31" s="3">
        <f>'St of Net Assets'!O31-U31</f>
        <v>0</v>
      </c>
    </row>
    <row r="32" spans="1:23">
      <c r="A32" s="3" t="s">
        <v>375</v>
      </c>
      <c r="C32" s="16" t="s">
        <v>180</v>
      </c>
      <c r="E32" s="16">
        <v>51045</v>
      </c>
      <c r="G32" s="3">
        <v>0</v>
      </c>
      <c r="H32" s="3"/>
      <c r="I32" s="3">
        <v>183335</v>
      </c>
      <c r="J32" s="3"/>
      <c r="K32" s="3">
        <v>0</v>
      </c>
      <c r="L32" s="3"/>
      <c r="M32" s="3">
        <v>0</v>
      </c>
      <c r="N32" s="3"/>
      <c r="O32" s="3">
        <v>468661</v>
      </c>
      <c r="P32" s="3"/>
      <c r="Q32" s="3">
        <v>0</v>
      </c>
      <c r="R32" s="3"/>
      <c r="S32" s="17">
        <f t="shared" si="0"/>
        <v>651996</v>
      </c>
      <c r="T32" s="3"/>
      <c r="U32" s="3">
        <v>93877</v>
      </c>
      <c r="V32" s="3"/>
      <c r="W32" s="3">
        <f>'St of Net Assets'!O32-U32</f>
        <v>0</v>
      </c>
    </row>
    <row r="33" spans="1:23">
      <c r="A33" s="3" t="s">
        <v>243</v>
      </c>
      <c r="C33" s="16" t="s">
        <v>183</v>
      </c>
      <c r="E33" s="16">
        <v>51128</v>
      </c>
      <c r="G33" s="3">
        <v>1078690</v>
      </c>
      <c r="H33" s="3"/>
      <c r="I33" s="3">
        <v>0</v>
      </c>
      <c r="J33" s="3"/>
      <c r="K33" s="3">
        <v>0</v>
      </c>
      <c r="L33" s="3"/>
      <c r="M33" s="3">
        <v>0</v>
      </c>
      <c r="N33" s="3"/>
      <c r="O33" s="3">
        <v>337941</v>
      </c>
      <c r="P33" s="3"/>
      <c r="Q33" s="3">
        <v>0</v>
      </c>
      <c r="R33" s="3"/>
      <c r="S33" s="17">
        <f t="shared" si="0"/>
        <v>1416631</v>
      </c>
      <c r="T33" s="3"/>
      <c r="U33" s="3">
        <v>84422</v>
      </c>
      <c r="V33" s="3"/>
      <c r="W33" s="3">
        <f>'St of Net Assets'!O33-U33</f>
        <v>0</v>
      </c>
    </row>
    <row r="34" spans="1:23">
      <c r="A34" s="3" t="s">
        <v>293</v>
      </c>
      <c r="C34" s="16" t="s">
        <v>184</v>
      </c>
      <c r="E34" s="16">
        <v>51144</v>
      </c>
      <c r="G34" s="3">
        <f>107489+4355000</f>
        <v>4462489</v>
      </c>
      <c r="H34" s="3"/>
      <c r="I34" s="3">
        <v>0</v>
      </c>
      <c r="J34" s="3"/>
      <c r="K34" s="3">
        <v>0</v>
      </c>
      <c r="L34" s="3"/>
      <c r="M34" s="3">
        <v>24277</v>
      </c>
      <c r="N34" s="3"/>
      <c r="O34" s="3">
        <v>498493</v>
      </c>
      <c r="P34" s="3"/>
      <c r="Q34" s="3">
        <v>0</v>
      </c>
      <c r="R34" s="3"/>
      <c r="S34" s="17">
        <f t="shared" si="0"/>
        <v>4985259</v>
      </c>
      <c r="T34" s="3"/>
      <c r="U34" s="3">
        <v>298191</v>
      </c>
      <c r="V34" s="3"/>
      <c r="W34" s="3">
        <f>'St of Net Assets'!O34-U34</f>
        <v>0</v>
      </c>
    </row>
    <row r="35" spans="1:23">
      <c r="A35" s="3" t="s">
        <v>244</v>
      </c>
      <c r="C35" s="16" t="s">
        <v>185</v>
      </c>
      <c r="E35" s="16">
        <v>51185</v>
      </c>
      <c r="G35" s="3">
        <f>1565000+5747770</f>
        <v>7312770</v>
      </c>
      <c r="H35" s="3"/>
      <c r="I35" s="3">
        <v>0</v>
      </c>
      <c r="J35" s="3"/>
      <c r="K35" s="3">
        <v>0</v>
      </c>
      <c r="L35" s="3"/>
      <c r="M35" s="3">
        <v>0</v>
      </c>
      <c r="N35" s="3"/>
      <c r="O35" s="3">
        <v>392832</v>
      </c>
      <c r="P35" s="3"/>
      <c r="Q35" s="3">
        <v>0</v>
      </c>
      <c r="R35" s="3"/>
      <c r="S35" s="17">
        <f t="shared" si="0"/>
        <v>7705602</v>
      </c>
      <c r="T35" s="3"/>
      <c r="U35" s="3">
        <v>230000</v>
      </c>
      <c r="V35" s="3"/>
      <c r="W35" s="3">
        <f>'St of Net Assets'!O35-U35</f>
        <v>0</v>
      </c>
    </row>
    <row r="36" spans="1:23" hidden="1">
      <c r="A36" s="3" t="s">
        <v>319</v>
      </c>
      <c r="C36" s="16" t="s">
        <v>187</v>
      </c>
      <c r="E36" s="16">
        <v>47977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7">
        <f t="shared" si="0"/>
        <v>0</v>
      </c>
      <c r="T36" s="3"/>
      <c r="U36" s="3"/>
      <c r="V36" s="3"/>
      <c r="W36" s="3">
        <f>'St of Net Assets'!O36-U36</f>
        <v>0</v>
      </c>
    </row>
    <row r="37" spans="1:23">
      <c r="A37" s="3" t="s">
        <v>246</v>
      </c>
      <c r="C37" s="16" t="s">
        <v>150</v>
      </c>
      <c r="E37" s="16">
        <v>51227</v>
      </c>
      <c r="G37" s="3">
        <v>0</v>
      </c>
      <c r="H37" s="3"/>
      <c r="I37" s="3">
        <v>0</v>
      </c>
      <c r="J37" s="3"/>
      <c r="K37" s="3">
        <v>0</v>
      </c>
      <c r="L37" s="3"/>
      <c r="M37" s="3">
        <v>0</v>
      </c>
      <c r="N37" s="3"/>
      <c r="O37" s="3">
        <v>3338675</v>
      </c>
      <c r="P37" s="3"/>
      <c r="Q37" s="3">
        <v>0</v>
      </c>
      <c r="R37" s="3"/>
      <c r="S37" s="17">
        <f t="shared" si="0"/>
        <v>3338675</v>
      </c>
      <c r="T37" s="3"/>
      <c r="U37" s="3">
        <v>404624</v>
      </c>
      <c r="V37" s="3"/>
      <c r="W37" s="3">
        <f>'St of Net Assets'!O37-U37</f>
        <v>0</v>
      </c>
    </row>
    <row r="38" spans="1:23">
      <c r="A38" s="3" t="s">
        <v>249</v>
      </c>
      <c r="C38" s="16" t="s">
        <v>191</v>
      </c>
      <c r="E38" s="16">
        <v>51243</v>
      </c>
      <c r="G38" s="3">
        <v>0</v>
      </c>
      <c r="H38" s="3"/>
      <c r="I38" s="3">
        <v>0</v>
      </c>
      <c r="J38" s="3"/>
      <c r="K38" s="3">
        <v>0</v>
      </c>
      <c r="L38" s="3"/>
      <c r="M38" s="3">
        <v>0</v>
      </c>
      <c r="N38" s="3"/>
      <c r="O38" s="3">
        <v>1219024</v>
      </c>
      <c r="P38" s="3"/>
      <c r="Q38" s="3">
        <v>14480426</v>
      </c>
      <c r="R38" s="3"/>
      <c r="S38" s="17">
        <f t="shared" si="0"/>
        <v>15699450</v>
      </c>
      <c r="T38" s="3"/>
      <c r="U38" s="3">
        <v>412564</v>
      </c>
      <c r="V38" s="3"/>
      <c r="W38" s="3">
        <f>'St of Net Assets'!O38-U38</f>
        <v>0</v>
      </c>
    </row>
    <row r="39" spans="1:23">
      <c r="A39" s="3" t="s">
        <v>294</v>
      </c>
      <c r="C39" s="16" t="s">
        <v>207</v>
      </c>
      <c r="E39" s="16">
        <v>51391</v>
      </c>
      <c r="G39" s="3">
        <v>0</v>
      </c>
      <c r="H39" s="3"/>
      <c r="I39" s="3">
        <v>0</v>
      </c>
      <c r="J39" s="3"/>
      <c r="K39" s="3">
        <v>0</v>
      </c>
      <c r="L39" s="3"/>
      <c r="M39" s="3">
        <v>0</v>
      </c>
      <c r="N39" s="3"/>
      <c r="O39" s="3">
        <v>1246879</v>
      </c>
      <c r="P39" s="3"/>
      <c r="Q39" s="3">
        <v>0</v>
      </c>
      <c r="R39" s="3"/>
      <c r="S39" s="17">
        <f t="shared" si="0"/>
        <v>1246879</v>
      </c>
      <c r="T39" s="3"/>
      <c r="U39" s="3">
        <v>72466</v>
      </c>
      <c r="V39" s="3"/>
      <c r="W39" s="3">
        <f>'St of Net Assets'!O39-U39</f>
        <v>0</v>
      </c>
    </row>
    <row r="40" spans="1:23">
      <c r="A40" s="3" t="s">
        <v>252</v>
      </c>
      <c r="C40" s="16" t="s">
        <v>193</v>
      </c>
      <c r="E40" s="16">
        <v>62109</v>
      </c>
      <c r="G40" s="3">
        <v>0</v>
      </c>
      <c r="H40" s="3"/>
      <c r="I40" s="3">
        <v>0</v>
      </c>
      <c r="J40" s="3"/>
      <c r="K40" s="3">
        <v>0</v>
      </c>
      <c r="L40" s="3"/>
      <c r="M40" s="3">
        <v>0</v>
      </c>
      <c r="N40" s="3"/>
      <c r="O40" s="3">
        <v>1480955</v>
      </c>
      <c r="P40" s="3"/>
      <c r="Q40" s="3">
        <v>0</v>
      </c>
      <c r="R40" s="3"/>
      <c r="S40" s="17">
        <f t="shared" si="0"/>
        <v>1480955</v>
      </c>
      <c r="T40" s="3"/>
      <c r="U40" s="3">
        <v>92982</v>
      </c>
      <c r="V40" s="3"/>
      <c r="W40" s="3">
        <f>'St of Net Assets'!O40-U40</f>
        <v>0</v>
      </c>
    </row>
    <row r="41" spans="1:23">
      <c r="A41" s="3" t="s">
        <v>295</v>
      </c>
      <c r="C41" s="16" t="s">
        <v>199</v>
      </c>
      <c r="E41" s="16">
        <v>51284</v>
      </c>
      <c r="G41" s="3">
        <v>6752045</v>
      </c>
      <c r="H41" s="3"/>
      <c r="I41" s="3">
        <v>0</v>
      </c>
      <c r="J41" s="3"/>
      <c r="K41" s="3">
        <v>0</v>
      </c>
      <c r="L41" s="3"/>
      <c r="M41" s="3">
        <v>0</v>
      </c>
      <c r="N41" s="3"/>
      <c r="O41" s="3">
        <v>3462632</v>
      </c>
      <c r="P41" s="3"/>
      <c r="Q41" s="3">
        <v>0</v>
      </c>
      <c r="R41" s="3"/>
      <c r="S41" s="17">
        <f t="shared" si="0"/>
        <v>10214677</v>
      </c>
      <c r="T41" s="3"/>
      <c r="U41" s="3">
        <v>455907</v>
      </c>
      <c r="V41" s="3"/>
      <c r="W41" s="3">
        <f>'St of Net Assets'!O41-U41</f>
        <v>0</v>
      </c>
    </row>
    <row r="42" spans="1:23">
      <c r="A42" s="3" t="s">
        <v>296</v>
      </c>
      <c r="C42" s="16" t="s">
        <v>201</v>
      </c>
      <c r="E42" s="16">
        <v>51300</v>
      </c>
      <c r="G42" s="3">
        <v>0</v>
      </c>
      <c r="H42" s="3"/>
      <c r="I42" s="3">
        <v>0</v>
      </c>
      <c r="J42" s="3"/>
      <c r="K42" s="3">
        <v>9064987</v>
      </c>
      <c r="L42" s="3"/>
      <c r="M42" s="3">
        <v>69512</v>
      </c>
      <c r="N42" s="3"/>
      <c r="O42" s="3">
        <v>611006</v>
      </c>
      <c r="P42" s="3"/>
      <c r="Q42" s="3">
        <v>12443876</v>
      </c>
      <c r="R42" s="3"/>
      <c r="S42" s="17">
        <f t="shared" si="0"/>
        <v>22189381</v>
      </c>
      <c r="T42" s="3"/>
      <c r="U42" s="3">
        <v>1888016</v>
      </c>
      <c r="V42" s="3"/>
      <c r="W42" s="3">
        <f>'St of Net Assets'!O42-U42</f>
        <v>0</v>
      </c>
    </row>
    <row r="43" spans="1:23">
      <c r="A43" s="3" t="s">
        <v>245</v>
      </c>
      <c r="C43" s="16" t="s">
        <v>188</v>
      </c>
      <c r="E43" s="16">
        <v>51334</v>
      </c>
      <c r="G43" s="3">
        <v>1350000</v>
      </c>
      <c r="H43" s="3"/>
      <c r="I43" s="3">
        <v>333336</v>
      </c>
      <c r="J43" s="3"/>
      <c r="K43" s="3">
        <v>0</v>
      </c>
      <c r="L43" s="3"/>
      <c r="M43" s="3">
        <v>0</v>
      </c>
      <c r="N43" s="3"/>
      <c r="O43" s="3">
        <v>1058067</v>
      </c>
      <c r="P43" s="3"/>
      <c r="Q43" s="3">
        <v>0</v>
      </c>
      <c r="R43" s="3"/>
      <c r="S43" s="17">
        <f t="shared" si="0"/>
        <v>2741403</v>
      </c>
      <c r="T43" s="3"/>
      <c r="U43" s="3">
        <v>476682</v>
      </c>
      <c r="V43" s="3"/>
      <c r="W43" s="3">
        <f>'St of Net Assets'!O43-U43</f>
        <v>0</v>
      </c>
    </row>
    <row r="44" spans="1:23">
      <c r="A44" s="3" t="s">
        <v>297</v>
      </c>
      <c r="C44" s="16" t="s">
        <v>236</v>
      </c>
      <c r="E44" s="16">
        <v>51359</v>
      </c>
      <c r="G44" s="3">
        <f>830000+57560000+804298</f>
        <v>59194298</v>
      </c>
      <c r="H44" s="3"/>
      <c r="I44" s="3">
        <v>0</v>
      </c>
      <c r="J44" s="3"/>
      <c r="K44" s="3">
        <v>0</v>
      </c>
      <c r="L44" s="3"/>
      <c r="M44" s="3">
        <v>76041</v>
      </c>
      <c r="N44" s="3"/>
      <c r="O44" s="3">
        <v>2845259</v>
      </c>
      <c r="P44" s="3"/>
      <c r="Q44" s="3">
        <v>0</v>
      </c>
      <c r="R44" s="3"/>
      <c r="S44" s="17">
        <f t="shared" si="0"/>
        <v>62115598</v>
      </c>
      <c r="T44" s="3"/>
      <c r="U44" s="3">
        <v>2168819</v>
      </c>
      <c r="V44" s="3"/>
      <c r="W44" s="3">
        <f>'St of Net Assets'!O44-U44</f>
        <v>0</v>
      </c>
    </row>
    <row r="45" spans="1:23">
      <c r="A45" s="3" t="s">
        <v>298</v>
      </c>
      <c r="C45" s="16" t="s">
        <v>214</v>
      </c>
      <c r="E45" s="16">
        <v>51433</v>
      </c>
      <c r="G45" s="3">
        <v>0</v>
      </c>
      <c r="H45" s="3"/>
      <c r="I45" s="3">
        <v>0</v>
      </c>
      <c r="J45" s="3"/>
      <c r="K45" s="3">
        <v>0</v>
      </c>
      <c r="L45" s="3"/>
      <c r="M45" s="3">
        <v>3274636</v>
      </c>
      <c r="N45" s="3"/>
      <c r="O45" s="3">
        <v>1575630</v>
      </c>
      <c r="P45" s="3"/>
      <c r="Q45" s="3">
        <v>0</v>
      </c>
      <c r="R45" s="3"/>
      <c r="S45" s="17">
        <f t="shared" si="0"/>
        <v>4850266</v>
      </c>
      <c r="T45" s="3"/>
      <c r="U45" s="3">
        <v>444270</v>
      </c>
      <c r="V45" s="3"/>
      <c r="W45" s="3">
        <f>'St of Net Assets'!O45-U45</f>
        <v>0</v>
      </c>
    </row>
    <row r="46" spans="1:23">
      <c r="A46" s="3" t="s">
        <v>299</v>
      </c>
      <c r="C46" s="16" t="s">
        <v>254</v>
      </c>
      <c r="E46" s="16">
        <v>51375</v>
      </c>
      <c r="G46" s="3">
        <v>0</v>
      </c>
      <c r="H46" s="3"/>
      <c r="I46" s="3">
        <v>158432</v>
      </c>
      <c r="J46" s="3"/>
      <c r="K46" s="3">
        <v>0</v>
      </c>
      <c r="L46" s="3"/>
      <c r="M46" s="3">
        <v>3244000</v>
      </c>
      <c r="N46" s="3"/>
      <c r="O46" s="3">
        <v>453549</v>
      </c>
      <c r="P46" s="3"/>
      <c r="Q46" s="3">
        <v>0</v>
      </c>
      <c r="R46" s="3"/>
      <c r="S46" s="17">
        <f t="shared" si="0"/>
        <v>3855981</v>
      </c>
      <c r="T46" s="3"/>
      <c r="U46" s="3">
        <v>207795</v>
      </c>
      <c r="V46" s="3"/>
      <c r="W46" s="3">
        <f>'St of Net Assets'!O46-U46</f>
        <v>0</v>
      </c>
    </row>
    <row r="47" spans="1:23">
      <c r="A47" s="3" t="s">
        <v>300</v>
      </c>
      <c r="C47" s="16" t="s">
        <v>212</v>
      </c>
      <c r="E47" s="16">
        <v>51417</v>
      </c>
      <c r="G47" s="3">
        <f>345000-185437+11750000</f>
        <v>11909563</v>
      </c>
      <c r="H47" s="3"/>
      <c r="I47" s="3">
        <v>0</v>
      </c>
      <c r="J47" s="3"/>
      <c r="K47" s="3">
        <v>0</v>
      </c>
      <c r="L47" s="3"/>
      <c r="M47" s="3">
        <v>100741</v>
      </c>
      <c r="N47" s="3"/>
      <c r="O47" s="3">
        <v>1483467</v>
      </c>
      <c r="P47" s="3"/>
      <c r="Q47" s="3">
        <v>46906</v>
      </c>
      <c r="R47" s="3"/>
      <c r="S47" s="17">
        <f t="shared" si="0"/>
        <v>13540677</v>
      </c>
      <c r="T47" s="3"/>
      <c r="U47" s="3">
        <v>728657</v>
      </c>
      <c r="V47" s="3"/>
      <c r="W47" s="3">
        <f>'St of Net Assets'!O47-U47</f>
        <v>0</v>
      </c>
    </row>
    <row r="48" spans="1:23">
      <c r="A48" s="3" t="s">
        <v>301</v>
      </c>
      <c r="C48" s="16" t="s">
        <v>167</v>
      </c>
      <c r="E48" s="16">
        <v>50948</v>
      </c>
      <c r="G48" s="3">
        <v>0</v>
      </c>
      <c r="H48" s="3"/>
      <c r="I48" s="3">
        <v>0</v>
      </c>
      <c r="J48" s="3"/>
      <c r="K48" s="3">
        <v>0</v>
      </c>
      <c r="L48" s="3"/>
      <c r="M48" s="3">
        <v>0</v>
      </c>
      <c r="N48" s="3"/>
      <c r="O48" s="3">
        <f>1466251+117441</f>
        <v>1583692</v>
      </c>
      <c r="P48" s="3"/>
      <c r="Q48" s="3">
        <v>0</v>
      </c>
      <c r="R48" s="3"/>
      <c r="S48" s="17">
        <f t="shared" si="0"/>
        <v>1583692</v>
      </c>
      <c r="T48" s="3"/>
      <c r="U48" s="3">
        <f>671647+106605</f>
        <v>778252</v>
      </c>
      <c r="V48" s="3"/>
      <c r="W48" s="3">
        <f>'St of Net Assets'!O48-U48</f>
        <v>0</v>
      </c>
    </row>
    <row r="49" spans="1:23">
      <c r="A49" s="3" t="s">
        <v>302</v>
      </c>
      <c r="C49" s="16" t="s">
        <v>223</v>
      </c>
      <c r="E49" s="16">
        <v>63495</v>
      </c>
      <c r="G49" s="3">
        <v>0</v>
      </c>
      <c r="H49" s="3"/>
      <c r="I49" s="3">
        <v>300002</v>
      </c>
      <c r="J49" s="3"/>
      <c r="K49" s="3">
        <v>0</v>
      </c>
      <c r="L49" s="3"/>
      <c r="M49" s="3">
        <v>0</v>
      </c>
      <c r="N49" s="3"/>
      <c r="O49" s="3">
        <v>463560</v>
      </c>
      <c r="P49" s="3"/>
      <c r="Q49" s="3">
        <v>0</v>
      </c>
      <c r="R49" s="3"/>
      <c r="S49" s="17">
        <f t="shared" si="0"/>
        <v>763562</v>
      </c>
      <c r="T49" s="3"/>
      <c r="U49" s="3">
        <v>92122</v>
      </c>
      <c r="V49" s="3"/>
      <c r="W49" s="3">
        <f>'St of Net Assets'!O49-U49</f>
        <v>0</v>
      </c>
    </row>
    <row r="50" spans="1:23">
      <c r="A50" s="3" t="s">
        <v>303</v>
      </c>
      <c r="C50" s="16" t="s">
        <v>217</v>
      </c>
      <c r="E50" s="16">
        <v>51490</v>
      </c>
      <c r="G50" s="3">
        <v>0</v>
      </c>
      <c r="H50" s="3"/>
      <c r="I50" s="3">
        <v>131400</v>
      </c>
      <c r="J50" s="3"/>
      <c r="K50" s="3">
        <v>0</v>
      </c>
      <c r="L50" s="3"/>
      <c r="M50" s="3">
        <v>3150000</v>
      </c>
      <c r="N50" s="3"/>
      <c r="O50" s="3">
        <v>561291</v>
      </c>
      <c r="P50" s="3"/>
      <c r="Q50" s="3">
        <v>0</v>
      </c>
      <c r="R50" s="3"/>
      <c r="S50" s="17">
        <f t="shared" si="0"/>
        <v>3842691</v>
      </c>
      <c r="T50" s="3"/>
      <c r="U50" s="3">
        <v>153173</v>
      </c>
      <c r="V50" s="3"/>
      <c r="W50" s="3">
        <f>'St of Net Assets'!O50-U50</f>
        <v>0</v>
      </c>
    </row>
    <row r="51" spans="1:23">
      <c r="A51" s="3" t="s">
        <v>238</v>
      </c>
      <c r="C51" s="16" t="s">
        <v>158</v>
      </c>
      <c r="E51" s="16">
        <v>50799</v>
      </c>
      <c r="G51" s="3">
        <v>0</v>
      </c>
      <c r="H51" s="3"/>
      <c r="I51" s="3">
        <v>333335</v>
      </c>
      <c r="J51" s="3"/>
      <c r="K51" s="3">
        <v>0</v>
      </c>
      <c r="L51" s="3"/>
      <c r="M51" s="3">
        <v>3129459</v>
      </c>
      <c r="N51" s="3"/>
      <c r="O51" s="3">
        <v>460469</v>
      </c>
      <c r="P51" s="3"/>
      <c r="Q51" s="3">
        <v>0</v>
      </c>
      <c r="R51" s="3"/>
      <c r="S51" s="17">
        <f t="shared" si="0"/>
        <v>3923263</v>
      </c>
      <c r="T51" s="3"/>
      <c r="U51" s="3">
        <v>228711</v>
      </c>
      <c r="V51" s="3"/>
      <c r="W51" s="3">
        <f>'St of Net Assets'!O51-U51</f>
        <v>0</v>
      </c>
    </row>
    <row r="52" spans="1:23">
      <c r="A52" s="3" t="s">
        <v>336</v>
      </c>
      <c r="C52" s="16" t="s">
        <v>161</v>
      </c>
      <c r="E52" s="16">
        <v>51532</v>
      </c>
      <c r="G52" s="3">
        <v>355000</v>
      </c>
      <c r="H52" s="3"/>
      <c r="I52" s="3">
        <v>19130</v>
      </c>
      <c r="J52" s="3"/>
      <c r="K52" s="3">
        <v>0</v>
      </c>
      <c r="L52" s="3"/>
      <c r="M52" s="3">
        <v>3271854</v>
      </c>
      <c r="N52" s="3"/>
      <c r="O52" s="3">
        <v>637926</v>
      </c>
      <c r="P52" s="3"/>
      <c r="Q52" s="3">
        <v>0</v>
      </c>
      <c r="R52" s="3"/>
      <c r="S52" s="17">
        <f t="shared" si="0"/>
        <v>4283910</v>
      </c>
      <c r="T52" s="3"/>
      <c r="U52" s="3">
        <v>554438</v>
      </c>
      <c r="V52" s="3"/>
      <c r="W52" s="3">
        <f>'St of Net Assets'!O52-U52</f>
        <v>0</v>
      </c>
    </row>
    <row r="53" spans="1:23">
      <c r="A53" s="3" t="s">
        <v>255</v>
      </c>
      <c r="C53" s="16" t="s">
        <v>221</v>
      </c>
      <c r="E53" s="16">
        <v>62026</v>
      </c>
      <c r="G53" s="3">
        <v>0</v>
      </c>
      <c r="H53" s="3"/>
      <c r="I53" s="3">
        <v>0</v>
      </c>
      <c r="J53" s="3"/>
      <c r="K53" s="3">
        <v>0</v>
      </c>
      <c r="L53" s="3"/>
      <c r="M53" s="3">
        <v>0</v>
      </c>
      <c r="N53" s="3"/>
      <c r="O53" s="3">
        <v>950352</v>
      </c>
      <c r="P53" s="3"/>
      <c r="Q53" s="3">
        <v>0</v>
      </c>
      <c r="R53" s="3"/>
      <c r="S53" s="17">
        <f t="shared" si="0"/>
        <v>950352</v>
      </c>
      <c r="T53" s="3"/>
      <c r="U53" s="3">
        <v>180858</v>
      </c>
      <c r="V53" s="3"/>
      <c r="W53" s="3">
        <f>'St of Net Assets'!O53-U53</f>
        <v>0</v>
      </c>
    </row>
    <row r="54" spans="1:23">
      <c r="A54" s="3" t="s">
        <v>341</v>
      </c>
      <c r="C54" s="16" t="s">
        <v>248</v>
      </c>
      <c r="G54" s="3">
        <f>5450000+106293</f>
        <v>5556293</v>
      </c>
      <c r="H54" s="3"/>
      <c r="I54" s="3">
        <v>0</v>
      </c>
      <c r="J54" s="3"/>
      <c r="K54" s="3">
        <v>0</v>
      </c>
      <c r="L54" s="3"/>
      <c r="M54" s="3">
        <v>46024</v>
      </c>
      <c r="N54" s="3"/>
      <c r="O54" s="3">
        <v>616414</v>
      </c>
      <c r="P54" s="3"/>
      <c r="Q54" s="3">
        <v>0</v>
      </c>
      <c r="R54" s="3"/>
      <c r="S54" s="17">
        <f t="shared" si="0"/>
        <v>6218731</v>
      </c>
      <c r="T54" s="3"/>
      <c r="U54" s="3">
        <v>766987</v>
      </c>
      <c r="V54" s="3"/>
      <c r="W54" s="3">
        <f>'St of Net Assets'!O54-U54</f>
        <v>0</v>
      </c>
    </row>
    <row r="55" spans="1:23">
      <c r="A55" s="3" t="s">
        <v>388</v>
      </c>
      <c r="C55" s="16" t="s">
        <v>153</v>
      </c>
      <c r="E55" s="16">
        <v>51607</v>
      </c>
      <c r="G55" s="3">
        <v>0</v>
      </c>
      <c r="H55" s="3"/>
      <c r="I55" s="3">
        <v>0</v>
      </c>
      <c r="J55" s="3"/>
      <c r="K55" s="3">
        <v>0</v>
      </c>
      <c r="L55" s="3"/>
      <c r="M55" s="3">
        <v>0</v>
      </c>
      <c r="N55" s="3"/>
      <c r="O55" s="3">
        <f>793045+5720</f>
        <v>798765</v>
      </c>
      <c r="P55" s="3"/>
      <c r="Q55" s="3">
        <v>0</v>
      </c>
      <c r="R55" s="3"/>
      <c r="S55" s="17">
        <f t="shared" si="0"/>
        <v>798765</v>
      </c>
      <c r="T55" s="3"/>
      <c r="U55" s="3">
        <f>5720+78579</f>
        <v>84299</v>
      </c>
      <c r="V55" s="3"/>
      <c r="W55" s="3">
        <f>'St of Net Assets'!O55-U55</f>
        <v>0</v>
      </c>
    </row>
    <row r="56" spans="1:23">
      <c r="A56" s="3" t="s">
        <v>250</v>
      </c>
      <c r="C56" s="16" t="s">
        <v>251</v>
      </c>
      <c r="E56" s="16">
        <v>65268</v>
      </c>
      <c r="G56" s="3">
        <v>0</v>
      </c>
      <c r="H56" s="3"/>
      <c r="I56" s="3">
        <v>66058</v>
      </c>
      <c r="J56" s="3"/>
      <c r="K56" s="3">
        <v>0</v>
      </c>
      <c r="L56" s="3"/>
      <c r="M56" s="3">
        <f>53485+25772</f>
        <v>79257</v>
      </c>
      <c r="N56" s="3"/>
      <c r="O56" s="3">
        <f>263649+3525</f>
        <v>267174</v>
      </c>
      <c r="P56" s="3"/>
      <c r="Q56" s="3">
        <v>0</v>
      </c>
      <c r="R56" s="3"/>
      <c r="S56" s="17">
        <f t="shared" si="0"/>
        <v>412489</v>
      </c>
      <c r="T56" s="3"/>
      <c r="U56" s="3">
        <f>96222+13386</f>
        <v>109608</v>
      </c>
      <c r="V56" s="3"/>
      <c r="W56" s="3">
        <f>'St of Net Assets'!O56-U56</f>
        <v>0</v>
      </c>
    </row>
    <row r="57" spans="1:23">
      <c r="A57" s="3" t="s">
        <v>304</v>
      </c>
      <c r="C57" s="16" t="s">
        <v>225</v>
      </c>
      <c r="E57" s="16">
        <v>51631</v>
      </c>
      <c r="G57" s="3">
        <v>0</v>
      </c>
      <c r="H57" s="3"/>
      <c r="I57" s="3">
        <v>0</v>
      </c>
      <c r="J57" s="3"/>
      <c r="K57" s="3">
        <v>0</v>
      </c>
      <c r="L57" s="3"/>
      <c r="M57" s="3">
        <v>5744000</v>
      </c>
      <c r="N57" s="3"/>
      <c r="O57" s="3">
        <f>1668797+109796</f>
        <v>1778593</v>
      </c>
      <c r="P57" s="3"/>
      <c r="Q57" s="3">
        <v>0</v>
      </c>
      <c r="R57" s="3"/>
      <c r="S57" s="17">
        <f t="shared" si="0"/>
        <v>7522593</v>
      </c>
      <c r="T57" s="3"/>
      <c r="U57" s="3">
        <f>489771+42370</f>
        <v>532141</v>
      </c>
      <c r="V57" s="3"/>
      <c r="W57" s="3">
        <f>'St of Net Assets'!O57-U57</f>
        <v>0</v>
      </c>
    </row>
    <row r="58" spans="1:23">
      <c r="A58" s="3" t="s">
        <v>239</v>
      </c>
      <c r="C58" s="16" t="s">
        <v>163</v>
      </c>
      <c r="E58" s="16">
        <v>62802</v>
      </c>
      <c r="G58" s="3">
        <v>0</v>
      </c>
      <c r="H58" s="3"/>
      <c r="I58" s="3">
        <v>0</v>
      </c>
      <c r="J58" s="3"/>
      <c r="K58" s="3">
        <v>0</v>
      </c>
      <c r="L58" s="3"/>
      <c r="M58" s="3">
        <v>0</v>
      </c>
      <c r="N58" s="3"/>
      <c r="O58" s="3">
        <v>672753</v>
      </c>
      <c r="P58" s="3"/>
      <c r="Q58" s="3">
        <v>0</v>
      </c>
      <c r="R58" s="3"/>
      <c r="S58" s="17">
        <f t="shared" si="0"/>
        <v>672753</v>
      </c>
      <c r="T58" s="3"/>
      <c r="U58" s="3">
        <v>141906</v>
      </c>
      <c r="V58" s="3"/>
      <c r="W58" s="3">
        <f>'St of Net Assets'!O58-U58</f>
        <v>0</v>
      </c>
    </row>
    <row r="59" spans="1:23">
      <c r="A59" s="3" t="s">
        <v>253</v>
      </c>
      <c r="C59" s="16" t="s">
        <v>197</v>
      </c>
      <c r="E59" s="16">
        <v>62125</v>
      </c>
      <c r="G59" s="3">
        <f>7285000+97872</f>
        <v>7382872</v>
      </c>
      <c r="H59" s="3"/>
      <c r="I59" s="3">
        <v>0</v>
      </c>
      <c r="J59" s="3"/>
      <c r="K59" s="3">
        <v>0</v>
      </c>
      <c r="L59" s="3"/>
      <c r="M59" s="3">
        <v>0</v>
      </c>
      <c r="N59" s="3"/>
      <c r="O59" s="3">
        <v>1415275</v>
      </c>
      <c r="P59" s="3"/>
      <c r="Q59" s="3">
        <v>0</v>
      </c>
      <c r="R59" s="3"/>
      <c r="S59" s="17">
        <f t="shared" si="0"/>
        <v>8798147</v>
      </c>
      <c r="T59" s="3"/>
      <c r="U59" s="3">
        <v>796610</v>
      </c>
      <c r="V59" s="3"/>
      <c r="W59" s="3">
        <f>'St of Net Assets'!O59-U59</f>
        <v>0</v>
      </c>
    </row>
    <row r="60" spans="1:23">
      <c r="A60" s="3" t="s">
        <v>305</v>
      </c>
      <c r="C60" s="16" t="s">
        <v>216</v>
      </c>
      <c r="E60" s="16">
        <v>51458</v>
      </c>
      <c r="G60" s="3">
        <v>5783812</v>
      </c>
      <c r="H60" s="3"/>
      <c r="I60" s="3">
        <v>0</v>
      </c>
      <c r="J60" s="3"/>
      <c r="K60" s="3">
        <v>0</v>
      </c>
      <c r="L60" s="3"/>
      <c r="M60" s="3">
        <v>0</v>
      </c>
      <c r="N60" s="3"/>
      <c r="O60" s="3">
        <v>1043068</v>
      </c>
      <c r="P60" s="3"/>
      <c r="Q60" s="3">
        <v>0</v>
      </c>
      <c r="R60" s="3"/>
      <c r="S60" s="17">
        <f t="shared" si="0"/>
        <v>6826880</v>
      </c>
      <c r="T60" s="3"/>
      <c r="U60" s="3">
        <v>455282</v>
      </c>
      <c r="V60" s="3"/>
      <c r="W60" s="3">
        <f>'St of Net Assets'!O60-U60</f>
        <v>0</v>
      </c>
    </row>
    <row r="61" spans="1:23">
      <c r="A61" s="3" t="s">
        <v>306</v>
      </c>
      <c r="C61" s="16" t="s">
        <v>229</v>
      </c>
      <c r="E61" s="16">
        <v>51672</v>
      </c>
      <c r="G61" s="3">
        <v>0</v>
      </c>
      <c r="H61" s="3"/>
      <c r="I61" s="3">
        <v>0</v>
      </c>
      <c r="J61" s="3"/>
      <c r="K61" s="3">
        <v>12409000</v>
      </c>
      <c r="L61" s="3"/>
      <c r="M61" s="3">
        <v>140139</v>
      </c>
      <c r="N61" s="3"/>
      <c r="O61" s="3">
        <v>538968</v>
      </c>
      <c r="P61" s="3"/>
      <c r="Q61" s="3">
        <v>0</v>
      </c>
      <c r="R61" s="3"/>
      <c r="S61" s="17">
        <f t="shared" si="0"/>
        <v>13088107</v>
      </c>
      <c r="T61" s="3"/>
      <c r="U61" s="3">
        <v>12548945</v>
      </c>
      <c r="V61" s="3"/>
      <c r="W61" s="3">
        <f>'St of Net Assets'!O61-U61</f>
        <v>0</v>
      </c>
    </row>
    <row r="62" spans="1:23">
      <c r="A62" s="3" t="s">
        <v>257</v>
      </c>
      <c r="C62" s="16" t="s">
        <v>231</v>
      </c>
      <c r="E62" s="16">
        <v>51474</v>
      </c>
      <c r="G62" s="3">
        <v>0</v>
      </c>
      <c r="H62" s="3"/>
      <c r="I62" s="3">
        <v>0</v>
      </c>
      <c r="J62" s="3"/>
      <c r="K62" s="3">
        <f>6585000+52364</f>
        <v>6637364</v>
      </c>
      <c r="L62" s="3"/>
      <c r="M62" s="3">
        <v>116520</v>
      </c>
      <c r="N62" s="3"/>
      <c r="O62" s="3">
        <v>528644</v>
      </c>
      <c r="P62" s="3"/>
      <c r="Q62" s="3">
        <v>0</v>
      </c>
      <c r="R62" s="3"/>
      <c r="S62" s="17">
        <f t="shared" si="0"/>
        <v>7282528</v>
      </c>
      <c r="T62" s="3"/>
      <c r="U62" s="3">
        <v>717427</v>
      </c>
      <c r="V62" s="3"/>
      <c r="W62" s="3">
        <f>'St of Net Assets'!O62-U62</f>
        <v>0</v>
      </c>
    </row>
    <row r="63" spans="1:23">
      <c r="A63" s="3" t="s">
        <v>325</v>
      </c>
      <c r="C63" s="16" t="s">
        <v>232</v>
      </c>
      <c r="E63" s="16">
        <v>51698</v>
      </c>
      <c r="G63" s="3">
        <v>1225000</v>
      </c>
      <c r="H63" s="3"/>
      <c r="I63" s="3">
        <v>0</v>
      </c>
      <c r="J63" s="3"/>
      <c r="K63" s="3">
        <v>330000</v>
      </c>
      <c r="L63" s="3"/>
      <c r="M63" s="3">
        <v>1040197</v>
      </c>
      <c r="N63" s="3"/>
      <c r="O63" s="3">
        <f>87246+458238</f>
        <v>545484</v>
      </c>
      <c r="P63" s="3"/>
      <c r="Q63" s="3">
        <v>0</v>
      </c>
      <c r="R63" s="3"/>
      <c r="S63" s="17">
        <f t="shared" si="0"/>
        <v>3140681</v>
      </c>
      <c r="T63" s="3"/>
      <c r="U63" s="3">
        <v>119335</v>
      </c>
      <c r="V63" s="3"/>
      <c r="W63" s="3">
        <f>'St of Net Assets'!O63-U63</f>
        <v>0</v>
      </c>
    </row>
    <row r="64" spans="1:23">
      <c r="A64" s="3" t="s">
        <v>307</v>
      </c>
      <c r="C64" s="16" t="s">
        <v>234</v>
      </c>
      <c r="E64" s="16">
        <v>51714</v>
      </c>
      <c r="G64" s="3">
        <v>0</v>
      </c>
      <c r="H64" s="3"/>
      <c r="I64" s="3">
        <v>0</v>
      </c>
      <c r="J64" s="3"/>
      <c r="K64" s="3">
        <v>0</v>
      </c>
      <c r="L64" s="3"/>
      <c r="M64" s="3">
        <v>8250000</v>
      </c>
      <c r="N64" s="3"/>
      <c r="O64" s="3">
        <v>771747</v>
      </c>
      <c r="P64" s="3"/>
      <c r="Q64" s="3">
        <v>0</v>
      </c>
      <c r="R64" s="3"/>
      <c r="S64" s="17">
        <f t="shared" si="0"/>
        <v>9021747</v>
      </c>
      <c r="T64" s="3"/>
      <c r="U64" s="3">
        <v>969977</v>
      </c>
      <c r="V64" s="3"/>
      <c r="W64" s="3">
        <f>'St of Net Assets'!O64-U64</f>
        <v>0</v>
      </c>
    </row>
    <row r="65" spans="1:23">
      <c r="A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7"/>
      <c r="T65" s="3"/>
      <c r="U65" s="3"/>
      <c r="V65" s="3"/>
      <c r="W65" s="3"/>
    </row>
    <row r="66" spans="1:23">
      <c r="A66" s="3"/>
      <c r="C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17" t="s">
        <v>310</v>
      </c>
      <c r="W66" s="3"/>
    </row>
    <row r="67" spans="1:23">
      <c r="A67" s="44" t="s">
        <v>309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W67" s="3"/>
    </row>
    <row r="68" spans="1:23">
      <c r="A68" s="4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W68" s="3"/>
    </row>
    <row r="69" spans="1:23" s="34" customFormat="1" hidden="1">
      <c r="A69" s="3" t="s">
        <v>345</v>
      </c>
      <c r="B69" s="3"/>
      <c r="C69" s="3" t="s">
        <v>321</v>
      </c>
      <c r="E69" s="63">
        <v>45849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7">
        <f>SUM(G69:R69)</f>
        <v>0</v>
      </c>
      <c r="T69" s="3"/>
      <c r="U69" s="3">
        <v>0</v>
      </c>
      <c r="W69" s="34">
        <f>'St of Net Assets'!O69-U69</f>
        <v>0</v>
      </c>
    </row>
    <row r="70" spans="1:23" hidden="1">
      <c r="A70" s="3" t="s">
        <v>346</v>
      </c>
      <c r="B70" s="3"/>
      <c r="C70" s="3" t="s">
        <v>152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17">
        <v>0</v>
      </c>
      <c r="T70" s="3"/>
      <c r="U70" s="3">
        <v>0</v>
      </c>
      <c r="V70" s="3"/>
      <c r="W70" s="3">
        <f>'St of Net Assets'!O70-U70</f>
        <v>0</v>
      </c>
    </row>
    <row r="71" spans="1:23">
      <c r="A71" s="3" t="s">
        <v>156</v>
      </c>
      <c r="B71" s="3"/>
      <c r="C71" s="3" t="s">
        <v>153</v>
      </c>
      <c r="E71" s="16">
        <v>135145</v>
      </c>
      <c r="G71" s="34">
        <v>0</v>
      </c>
      <c r="H71" s="34"/>
      <c r="I71" s="34">
        <v>0</v>
      </c>
      <c r="J71" s="34"/>
      <c r="K71" s="34">
        <v>0</v>
      </c>
      <c r="L71" s="34"/>
      <c r="M71" s="34">
        <v>0</v>
      </c>
      <c r="N71" s="34"/>
      <c r="O71" s="34">
        <v>123166</v>
      </c>
      <c r="P71" s="34"/>
      <c r="Q71" s="34">
        <v>0</v>
      </c>
      <c r="R71" s="34"/>
      <c r="S71" s="62">
        <f>SUM(G71:R71)</f>
        <v>123166</v>
      </c>
      <c r="T71" s="34"/>
      <c r="U71" s="34">
        <v>12439</v>
      </c>
      <c r="V71" s="34"/>
      <c r="W71" s="34">
        <f>'St of Net Assets'!O71-U71</f>
        <v>0</v>
      </c>
    </row>
    <row r="72" spans="1:23" hidden="1">
      <c r="A72" s="3" t="s">
        <v>362</v>
      </c>
      <c r="B72" s="3"/>
      <c r="C72" s="3" t="s">
        <v>322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17">
        <f>SUM(G72:R72)</f>
        <v>0</v>
      </c>
      <c r="T72" s="3"/>
      <c r="U72" s="3"/>
      <c r="V72" s="3"/>
      <c r="W72" s="3">
        <f>'St of Net Assets'!O72-U72</f>
        <v>0</v>
      </c>
    </row>
    <row r="73" spans="1:23">
      <c r="A73" s="16" t="s">
        <v>365</v>
      </c>
      <c r="C73" s="16" t="s">
        <v>158</v>
      </c>
      <c r="E73" s="16">
        <v>46029</v>
      </c>
      <c r="G73" s="3">
        <v>0</v>
      </c>
      <c r="H73" s="3"/>
      <c r="I73" s="3">
        <v>0</v>
      </c>
      <c r="J73" s="3"/>
      <c r="K73" s="3">
        <v>0</v>
      </c>
      <c r="L73" s="3"/>
      <c r="M73" s="3">
        <v>0</v>
      </c>
      <c r="N73" s="3"/>
      <c r="O73" s="3">
        <v>282382</v>
      </c>
      <c r="P73" s="3"/>
      <c r="Q73" s="3">
        <v>0</v>
      </c>
      <c r="R73" s="3"/>
      <c r="S73" s="17">
        <f>SUM(G73:R73)</f>
        <v>282382</v>
      </c>
      <c r="T73" s="3"/>
      <c r="U73" s="3">
        <v>60316</v>
      </c>
      <c r="V73" s="3"/>
      <c r="W73" s="3">
        <f>'St of Net Assets'!O73-U73</f>
        <v>0</v>
      </c>
    </row>
    <row r="74" spans="1:23">
      <c r="A74" s="16" t="s">
        <v>364</v>
      </c>
      <c r="C74" s="16" t="s">
        <v>155</v>
      </c>
      <c r="E74" s="16">
        <v>46086</v>
      </c>
      <c r="G74" s="3">
        <v>0</v>
      </c>
      <c r="H74" s="3"/>
      <c r="I74" s="3">
        <v>0</v>
      </c>
      <c r="J74" s="3"/>
      <c r="K74" s="3">
        <v>0</v>
      </c>
      <c r="L74" s="3"/>
      <c r="M74" s="3">
        <v>2937000</v>
      </c>
      <c r="N74" s="3"/>
      <c r="O74" s="3">
        <v>306759</v>
      </c>
      <c r="P74" s="3"/>
      <c r="Q74" s="3">
        <v>0</v>
      </c>
      <c r="R74" s="3"/>
      <c r="S74" s="17">
        <f t="shared" ref="S74:S107" si="1">SUM(G74:R74)</f>
        <v>3243759</v>
      </c>
      <c r="T74" s="3"/>
      <c r="U74" s="3">
        <v>126234</v>
      </c>
      <c r="V74" s="3"/>
      <c r="W74" s="3">
        <f>'St of Net Assets'!O74-U74</f>
        <v>0</v>
      </c>
    </row>
    <row r="75" spans="1:23">
      <c r="A75" s="16" t="s">
        <v>366</v>
      </c>
      <c r="C75" s="16" t="s">
        <v>161</v>
      </c>
      <c r="E75" s="16">
        <v>46227</v>
      </c>
      <c r="G75" s="3">
        <v>0</v>
      </c>
      <c r="H75" s="3"/>
      <c r="I75" s="3">
        <v>0</v>
      </c>
      <c r="J75" s="3"/>
      <c r="K75" s="3">
        <v>0</v>
      </c>
      <c r="L75" s="3"/>
      <c r="M75" s="3">
        <v>247152</v>
      </c>
      <c r="N75" s="3"/>
      <c r="O75" s="3">
        <v>106457</v>
      </c>
      <c r="P75" s="3"/>
      <c r="Q75" s="3">
        <v>0</v>
      </c>
      <c r="R75" s="3"/>
      <c r="S75" s="17">
        <f t="shared" si="1"/>
        <v>353609</v>
      </c>
      <c r="T75" s="3"/>
      <c r="U75" s="3">
        <v>87347</v>
      </c>
      <c r="V75" s="3"/>
      <c r="W75" s="3">
        <f>'St of Net Assets'!O75-U75</f>
        <v>0</v>
      </c>
    </row>
    <row r="76" spans="1:23">
      <c r="A76" s="16" t="s">
        <v>162</v>
      </c>
      <c r="C76" s="16" t="s">
        <v>163</v>
      </c>
      <c r="E76" s="16">
        <v>46292</v>
      </c>
      <c r="G76" s="3">
        <v>0</v>
      </c>
      <c r="H76" s="3"/>
      <c r="I76" s="3">
        <v>0</v>
      </c>
      <c r="J76" s="3"/>
      <c r="K76" s="3">
        <v>0</v>
      </c>
      <c r="L76" s="3"/>
      <c r="M76" s="3">
        <v>0</v>
      </c>
      <c r="N76" s="3"/>
      <c r="O76" s="3">
        <v>502824</v>
      </c>
      <c r="P76" s="3"/>
      <c r="Q76" s="3">
        <v>0</v>
      </c>
      <c r="R76" s="3"/>
      <c r="S76" s="17">
        <f t="shared" si="1"/>
        <v>502824</v>
      </c>
      <c r="T76" s="3"/>
      <c r="U76" s="3">
        <v>29070</v>
      </c>
      <c r="V76" s="3"/>
      <c r="W76" s="3">
        <f>'St of Net Assets'!O76-U76</f>
        <v>0</v>
      </c>
    </row>
    <row r="77" spans="1:23" hidden="1">
      <c r="A77" s="16" t="s">
        <v>343</v>
      </c>
      <c r="C77" s="16" t="s">
        <v>164</v>
      </c>
      <c r="E77" s="16">
        <v>46375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17">
        <f t="shared" si="1"/>
        <v>0</v>
      </c>
      <c r="T77" s="3"/>
      <c r="U77" s="3"/>
      <c r="V77" s="3"/>
      <c r="W77" s="3">
        <f>'St of Net Assets'!O77-U77</f>
        <v>0</v>
      </c>
    </row>
    <row r="78" spans="1:23">
      <c r="A78" s="16" t="s">
        <v>367</v>
      </c>
      <c r="C78" s="16" t="s">
        <v>165</v>
      </c>
      <c r="E78" s="16">
        <v>46417</v>
      </c>
      <c r="G78" s="3">
        <v>0</v>
      </c>
      <c r="H78" s="3"/>
      <c r="I78" s="3">
        <v>423757</v>
      </c>
      <c r="J78" s="3"/>
      <c r="K78" s="3">
        <v>0</v>
      </c>
      <c r="L78" s="3"/>
      <c r="M78" s="3">
        <v>65986</v>
      </c>
      <c r="N78" s="3"/>
      <c r="O78" s="3">
        <v>479275</v>
      </c>
      <c r="P78" s="3"/>
      <c r="Q78" s="3">
        <v>0</v>
      </c>
      <c r="R78" s="3"/>
      <c r="S78" s="17">
        <f t="shared" si="1"/>
        <v>969018</v>
      </c>
      <c r="T78" s="3"/>
      <c r="U78" s="3">
        <v>160916</v>
      </c>
      <c r="V78" s="3"/>
      <c r="W78" s="3">
        <f>'St of Net Assets'!O78-U78</f>
        <v>0</v>
      </c>
    </row>
    <row r="79" spans="1:23">
      <c r="A79" s="16" t="s">
        <v>166</v>
      </c>
      <c r="C79" s="16" t="s">
        <v>167</v>
      </c>
      <c r="E79" s="16">
        <v>46532</v>
      </c>
      <c r="G79" s="3">
        <v>0</v>
      </c>
      <c r="H79" s="3"/>
      <c r="I79" s="3">
        <v>0</v>
      </c>
      <c r="J79" s="3"/>
      <c r="K79" s="3">
        <v>0</v>
      </c>
      <c r="L79" s="3"/>
      <c r="M79" s="3">
        <v>1734000</v>
      </c>
      <c r="N79" s="3"/>
      <c r="O79" s="3">
        <v>1941890</v>
      </c>
      <c r="P79" s="3"/>
      <c r="Q79" s="3">
        <v>0</v>
      </c>
      <c r="R79" s="3"/>
      <c r="S79" s="17">
        <f t="shared" si="1"/>
        <v>3675890</v>
      </c>
      <c r="T79" s="3"/>
      <c r="U79" s="3">
        <v>1494606</v>
      </c>
      <c r="V79" s="3"/>
      <c r="W79" s="3">
        <f>'St of Net Assets'!O79-U79</f>
        <v>0</v>
      </c>
    </row>
    <row r="80" spans="1:23" hidden="1">
      <c r="A80" s="16" t="s">
        <v>339</v>
      </c>
      <c r="C80" s="16" t="s">
        <v>169</v>
      </c>
      <c r="E80" s="16">
        <v>46615</v>
      </c>
      <c r="G80" s="3">
        <v>0</v>
      </c>
      <c r="H80" s="3"/>
      <c r="I80" s="3">
        <v>0</v>
      </c>
      <c r="J80" s="3"/>
      <c r="K80" s="3">
        <v>0</v>
      </c>
      <c r="L80" s="3"/>
      <c r="M80" s="3"/>
      <c r="N80" s="3"/>
      <c r="O80" s="3"/>
      <c r="P80" s="3"/>
      <c r="Q80" s="3">
        <v>0</v>
      </c>
      <c r="R80" s="3"/>
      <c r="S80" s="17">
        <f t="shared" si="1"/>
        <v>0</v>
      </c>
      <c r="T80" s="3"/>
      <c r="U80" s="3"/>
      <c r="V80" s="3"/>
      <c r="W80" s="3">
        <f>'St of Net Assets'!O80-U80</f>
        <v>0</v>
      </c>
    </row>
    <row r="81" spans="1:23" hidden="1">
      <c r="A81" s="3" t="s">
        <v>363</v>
      </c>
      <c r="C81" s="16" t="s">
        <v>171</v>
      </c>
      <c r="E81" s="16">
        <v>46730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17">
        <f t="shared" si="1"/>
        <v>0</v>
      </c>
      <c r="T81" s="3"/>
      <c r="U81" s="3"/>
      <c r="V81" s="3"/>
      <c r="W81" s="3">
        <f>'St of Net Assets'!O81-U81</f>
        <v>0</v>
      </c>
    </row>
    <row r="82" spans="1:23">
      <c r="A82" s="3" t="s">
        <v>384</v>
      </c>
      <c r="B82" s="3"/>
      <c r="C82" s="3" t="s">
        <v>227</v>
      </c>
      <c r="D82" s="3"/>
      <c r="E82" s="12">
        <v>50260</v>
      </c>
      <c r="G82" s="3">
        <v>0</v>
      </c>
      <c r="H82" s="3"/>
      <c r="I82" s="3">
        <v>0</v>
      </c>
      <c r="J82" s="3"/>
      <c r="K82" s="3">
        <v>0</v>
      </c>
      <c r="L82" s="3"/>
      <c r="M82" s="3">
        <f>479674+125807</f>
        <v>605481</v>
      </c>
      <c r="N82" s="3"/>
      <c r="O82" s="3">
        <v>335714</v>
      </c>
      <c r="P82" s="3"/>
      <c r="Q82" s="3">
        <v>0</v>
      </c>
      <c r="R82" s="3"/>
      <c r="S82" s="17">
        <f t="shared" si="1"/>
        <v>941195</v>
      </c>
      <c r="T82" s="3"/>
      <c r="U82" s="3">
        <v>139071</v>
      </c>
      <c r="V82" s="3"/>
      <c r="W82" s="3">
        <f>'St of Net Assets'!O82-U82</f>
        <v>0</v>
      </c>
    </row>
    <row r="83" spans="1:23" hidden="1">
      <c r="A83" s="16" t="s">
        <v>344</v>
      </c>
      <c r="C83" s="16" t="s">
        <v>172</v>
      </c>
      <c r="E83" s="16">
        <v>125690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17">
        <f t="shared" si="1"/>
        <v>0</v>
      </c>
      <c r="T83" s="3"/>
      <c r="U83" s="3"/>
      <c r="V83" s="3"/>
      <c r="W83" s="3">
        <f>'St of Net Assets'!O83-U83</f>
        <v>0</v>
      </c>
    </row>
    <row r="84" spans="1:23">
      <c r="A84" s="16" t="s">
        <v>173</v>
      </c>
      <c r="C84" s="16" t="s">
        <v>174</v>
      </c>
      <c r="E84" s="16">
        <v>46839</v>
      </c>
      <c r="G84" s="3">
        <v>0</v>
      </c>
      <c r="H84" s="3"/>
      <c r="I84" s="3">
        <v>0</v>
      </c>
      <c r="J84" s="3"/>
      <c r="K84" s="3">
        <v>0</v>
      </c>
      <c r="L84" s="3"/>
      <c r="M84" s="3">
        <v>23935</v>
      </c>
      <c r="N84" s="3"/>
      <c r="O84" s="3">
        <v>383139</v>
      </c>
      <c r="P84" s="3"/>
      <c r="Q84" s="3">
        <v>0</v>
      </c>
      <c r="R84" s="3"/>
      <c r="S84" s="17">
        <f t="shared" si="1"/>
        <v>407074</v>
      </c>
      <c r="T84" s="3"/>
      <c r="U84" s="3">
        <v>102453</v>
      </c>
      <c r="V84" s="3"/>
      <c r="W84" s="3">
        <f>'St of Net Assets'!O84-U84</f>
        <v>0</v>
      </c>
    </row>
    <row r="85" spans="1:23">
      <c r="A85" s="3" t="s">
        <v>353</v>
      </c>
      <c r="C85" s="16" t="s">
        <v>175</v>
      </c>
      <c r="E85" s="16">
        <v>46938</v>
      </c>
      <c r="G85" s="3">
        <v>0</v>
      </c>
      <c r="H85" s="3"/>
      <c r="I85" s="3">
        <v>0</v>
      </c>
      <c r="J85" s="3"/>
      <c r="K85" s="3">
        <v>0</v>
      </c>
      <c r="L85" s="3"/>
      <c r="M85" s="3">
        <f>306930+2968000</f>
        <v>3274930</v>
      </c>
      <c r="N85" s="3"/>
      <c r="O85" s="3">
        <v>1944951</v>
      </c>
      <c r="P85" s="3"/>
      <c r="Q85" s="3">
        <v>0</v>
      </c>
      <c r="R85" s="3"/>
      <c r="S85" s="17">
        <f t="shared" si="1"/>
        <v>5219881</v>
      </c>
      <c r="T85" s="3"/>
      <c r="U85" s="3">
        <v>945836</v>
      </c>
      <c r="V85" s="3"/>
      <c r="W85" s="3">
        <f>'St of Net Assets'!O85-U85</f>
        <v>0</v>
      </c>
    </row>
    <row r="86" spans="1:23">
      <c r="A86" s="16" t="s">
        <v>177</v>
      </c>
      <c r="C86" s="16" t="s">
        <v>178</v>
      </c>
      <c r="E86" s="16">
        <v>125682</v>
      </c>
      <c r="G86" s="3">
        <v>0</v>
      </c>
      <c r="H86" s="3"/>
      <c r="I86" s="3">
        <v>0</v>
      </c>
      <c r="J86" s="3"/>
      <c r="K86" s="3">
        <v>0</v>
      </c>
      <c r="L86" s="3"/>
      <c r="M86" s="3">
        <v>0</v>
      </c>
      <c r="N86" s="3"/>
      <c r="O86" s="3">
        <v>63428</v>
      </c>
      <c r="P86" s="3"/>
      <c r="Q86" s="3">
        <v>0</v>
      </c>
      <c r="R86" s="3"/>
      <c r="S86" s="17">
        <f t="shared" si="1"/>
        <v>63428</v>
      </c>
      <c r="T86" s="3"/>
      <c r="U86" s="3">
        <v>1522</v>
      </c>
      <c r="V86" s="3"/>
      <c r="W86" s="3">
        <f>'St of Net Assets'!O86-U86</f>
        <v>0</v>
      </c>
    </row>
    <row r="87" spans="1:23">
      <c r="A87" s="35" t="s">
        <v>376</v>
      </c>
      <c r="C87" s="16" t="s">
        <v>179</v>
      </c>
      <c r="E87" s="16">
        <v>47159</v>
      </c>
      <c r="G87" s="3">
        <v>0</v>
      </c>
      <c r="H87" s="3"/>
      <c r="I87" s="3">
        <v>0</v>
      </c>
      <c r="J87" s="3"/>
      <c r="K87" s="3">
        <v>0</v>
      </c>
      <c r="L87" s="3"/>
      <c r="M87" s="3">
        <v>0</v>
      </c>
      <c r="N87" s="3"/>
      <c r="O87" s="3">
        <v>251929</v>
      </c>
      <c r="P87" s="3"/>
      <c r="Q87" s="3">
        <v>0</v>
      </c>
      <c r="R87" s="3"/>
      <c r="S87" s="17">
        <f t="shared" si="1"/>
        <v>251929</v>
      </c>
      <c r="T87" s="3"/>
      <c r="U87" s="3">
        <v>33675</v>
      </c>
      <c r="V87" s="3"/>
      <c r="W87" s="3">
        <f>'St of Net Assets'!O87-U87</f>
        <v>0</v>
      </c>
    </row>
    <row r="88" spans="1:23">
      <c r="A88" s="16" t="s">
        <v>377</v>
      </c>
      <c r="C88" s="16" t="s">
        <v>180</v>
      </c>
      <c r="E88" s="16">
        <v>47233</v>
      </c>
      <c r="G88" s="3">
        <v>0</v>
      </c>
      <c r="H88" s="3"/>
      <c r="I88" s="3">
        <v>0</v>
      </c>
      <c r="J88" s="3"/>
      <c r="K88" s="3">
        <v>0</v>
      </c>
      <c r="L88" s="3"/>
      <c r="M88" s="3">
        <v>125797</v>
      </c>
      <c r="N88" s="3"/>
      <c r="O88" s="3">
        <v>796142</v>
      </c>
      <c r="P88" s="3"/>
      <c r="Q88" s="3">
        <v>0</v>
      </c>
      <c r="R88" s="3"/>
      <c r="S88" s="17">
        <f t="shared" si="1"/>
        <v>921939</v>
      </c>
      <c r="T88" s="3"/>
      <c r="U88" s="3">
        <v>158784</v>
      </c>
      <c r="V88" s="3"/>
      <c r="W88" s="3">
        <f>'St of Net Assets'!O88-U88</f>
        <v>0</v>
      </c>
    </row>
    <row r="89" spans="1:23">
      <c r="A89" s="16" t="s">
        <v>378</v>
      </c>
      <c r="C89" s="16" t="s">
        <v>181</v>
      </c>
      <c r="E89" s="16">
        <v>47324</v>
      </c>
      <c r="G89" s="3">
        <v>0</v>
      </c>
      <c r="H89" s="3"/>
      <c r="I89" s="3">
        <v>0</v>
      </c>
      <c r="J89" s="3"/>
      <c r="K89" s="3">
        <v>0</v>
      </c>
      <c r="L89" s="3"/>
      <c r="M89" s="3">
        <v>2224000</v>
      </c>
      <c r="N89" s="3"/>
      <c r="O89" s="3">
        <v>3400032</v>
      </c>
      <c r="P89" s="3"/>
      <c r="Q89" s="3">
        <v>0</v>
      </c>
      <c r="R89" s="3"/>
      <c r="S89" s="17">
        <f t="shared" si="1"/>
        <v>5624032</v>
      </c>
      <c r="T89" s="3"/>
      <c r="U89" s="3">
        <v>137680</v>
      </c>
      <c r="V89" s="3"/>
      <c r="W89" s="3">
        <f>'St of Net Assets'!O89-U89</f>
        <v>0</v>
      </c>
    </row>
    <row r="90" spans="1:23">
      <c r="A90" s="16" t="s">
        <v>379</v>
      </c>
      <c r="C90" s="16" t="s">
        <v>182</v>
      </c>
      <c r="E90" s="16">
        <v>47407</v>
      </c>
      <c r="G90" s="3">
        <v>0</v>
      </c>
      <c r="H90" s="3"/>
      <c r="I90" s="3">
        <v>0</v>
      </c>
      <c r="J90" s="3"/>
      <c r="K90" s="3">
        <v>0</v>
      </c>
      <c r="L90" s="3"/>
      <c r="M90" s="3">
        <v>0</v>
      </c>
      <c r="N90" s="3"/>
      <c r="O90" s="3">
        <v>380781</v>
      </c>
      <c r="P90" s="3"/>
      <c r="Q90" s="3">
        <v>0</v>
      </c>
      <c r="R90" s="3"/>
      <c r="S90" s="17">
        <f t="shared" si="1"/>
        <v>380781</v>
      </c>
      <c r="T90" s="3"/>
      <c r="U90" s="3">
        <v>66673</v>
      </c>
      <c r="V90" s="3"/>
      <c r="W90" s="3">
        <f>'St of Net Assets'!O90-U90</f>
        <v>0</v>
      </c>
    </row>
    <row r="91" spans="1:23">
      <c r="A91" s="16" t="s">
        <v>380</v>
      </c>
      <c r="C91" s="16" t="s">
        <v>21</v>
      </c>
      <c r="E91" s="16">
        <v>47480</v>
      </c>
      <c r="G91" s="3">
        <v>0</v>
      </c>
      <c r="H91" s="3"/>
      <c r="I91" s="3">
        <v>0</v>
      </c>
      <c r="J91" s="3"/>
      <c r="K91" s="3">
        <v>0</v>
      </c>
      <c r="L91" s="3"/>
      <c r="M91" s="3">
        <v>0</v>
      </c>
      <c r="N91" s="3"/>
      <c r="O91" s="3">
        <v>20625</v>
      </c>
      <c r="P91" s="3"/>
      <c r="Q91" s="3">
        <v>0</v>
      </c>
      <c r="R91" s="3"/>
      <c r="S91" s="17">
        <f t="shared" si="1"/>
        <v>20625</v>
      </c>
      <c r="T91" s="3"/>
      <c r="U91" s="3">
        <v>0</v>
      </c>
      <c r="V91" s="3"/>
      <c r="W91" s="3">
        <f>'St of Net Assets'!O91-U91</f>
        <v>0</v>
      </c>
    </row>
    <row r="92" spans="1:23">
      <c r="A92" s="16" t="s">
        <v>381</v>
      </c>
      <c r="C92" s="16" t="s">
        <v>183</v>
      </c>
      <c r="E92" s="16">
        <v>47779</v>
      </c>
      <c r="G92" s="3">
        <v>0</v>
      </c>
      <c r="H92" s="3"/>
      <c r="I92" s="3">
        <v>0</v>
      </c>
      <c r="J92" s="3"/>
      <c r="K92" s="3">
        <v>0</v>
      </c>
      <c r="L92" s="3"/>
      <c r="M92" s="3">
        <v>15208</v>
      </c>
      <c r="N92" s="3"/>
      <c r="O92" s="3">
        <v>220197</v>
      </c>
      <c r="P92" s="3"/>
      <c r="Q92" s="3">
        <v>0</v>
      </c>
      <c r="R92" s="3"/>
      <c r="S92" s="17">
        <f t="shared" si="1"/>
        <v>235405</v>
      </c>
      <c r="T92" s="3"/>
      <c r="U92" s="3">
        <v>71385</v>
      </c>
      <c r="V92" s="3"/>
      <c r="W92" s="3">
        <f>'St of Net Assets'!O92-U92</f>
        <v>0</v>
      </c>
    </row>
    <row r="93" spans="1:23">
      <c r="A93" s="16" t="s">
        <v>382</v>
      </c>
      <c r="C93" s="16" t="s">
        <v>184</v>
      </c>
      <c r="E93" s="16">
        <v>47811</v>
      </c>
      <c r="G93" s="3">
        <v>0</v>
      </c>
      <c r="H93" s="3"/>
      <c r="I93" s="3">
        <v>0</v>
      </c>
      <c r="J93" s="3"/>
      <c r="K93" s="3">
        <v>0</v>
      </c>
      <c r="L93" s="3"/>
      <c r="M93" s="3">
        <v>0</v>
      </c>
      <c r="N93" s="3"/>
      <c r="O93" s="3">
        <v>96215</v>
      </c>
      <c r="P93" s="3"/>
      <c r="Q93" s="3">
        <v>0</v>
      </c>
      <c r="R93" s="3"/>
      <c r="S93" s="17">
        <f t="shared" si="1"/>
        <v>96215</v>
      </c>
      <c r="T93" s="3"/>
      <c r="U93" s="3">
        <v>19244</v>
      </c>
      <c r="V93" s="3"/>
      <c r="W93" s="3">
        <f>'St of Net Assets'!O93-U93</f>
        <v>0</v>
      </c>
    </row>
    <row r="94" spans="1:23">
      <c r="A94" s="16" t="s">
        <v>383</v>
      </c>
      <c r="C94" s="16" t="s">
        <v>154</v>
      </c>
      <c r="E94" s="16">
        <v>47860</v>
      </c>
      <c r="G94" s="3">
        <v>0</v>
      </c>
      <c r="H94" s="3"/>
      <c r="I94" s="3">
        <v>0</v>
      </c>
      <c r="J94" s="3"/>
      <c r="K94" s="3">
        <v>0</v>
      </c>
      <c r="L94" s="3"/>
      <c r="M94" s="3">
        <v>0</v>
      </c>
      <c r="N94" s="3"/>
      <c r="O94" s="3">
        <v>128556</v>
      </c>
      <c r="P94" s="3"/>
      <c r="Q94" s="3">
        <v>0</v>
      </c>
      <c r="R94" s="3"/>
      <c r="S94" s="17">
        <f t="shared" si="1"/>
        <v>128556</v>
      </c>
      <c r="T94" s="3"/>
      <c r="U94" s="3">
        <v>72283</v>
      </c>
      <c r="V94" s="3"/>
      <c r="W94" s="3">
        <f>'St of Net Assets'!O94-U94</f>
        <v>0</v>
      </c>
    </row>
    <row r="95" spans="1:23">
      <c r="A95" s="16" t="s">
        <v>368</v>
      </c>
      <c r="C95" s="16" t="s">
        <v>185</v>
      </c>
      <c r="E95" s="16">
        <v>47910</v>
      </c>
      <c r="G95" s="3">
        <v>0</v>
      </c>
      <c r="H95" s="3"/>
      <c r="I95" s="3">
        <v>0</v>
      </c>
      <c r="J95" s="3"/>
      <c r="K95" s="3">
        <v>0</v>
      </c>
      <c r="L95" s="3"/>
      <c r="M95" s="3">
        <v>0</v>
      </c>
      <c r="N95" s="3"/>
      <c r="O95" s="3">
        <v>111061</v>
      </c>
      <c r="P95" s="3"/>
      <c r="Q95" s="3">
        <v>0</v>
      </c>
      <c r="R95" s="3"/>
      <c r="S95" s="17">
        <f t="shared" si="1"/>
        <v>111061</v>
      </c>
      <c r="T95" s="3"/>
      <c r="U95" s="3">
        <v>67679</v>
      </c>
      <c r="V95" s="3"/>
      <c r="W95" s="3">
        <f>'St of Net Assets'!O95-U95</f>
        <v>0</v>
      </c>
    </row>
    <row r="96" spans="1:23">
      <c r="A96" s="3" t="s">
        <v>369</v>
      </c>
      <c r="B96" s="3"/>
      <c r="C96" s="3" t="s">
        <v>187</v>
      </c>
      <c r="G96" s="3">
        <v>0</v>
      </c>
      <c r="H96" s="3"/>
      <c r="I96" s="3">
        <v>0</v>
      </c>
      <c r="J96" s="3"/>
      <c r="K96" s="3">
        <v>0</v>
      </c>
      <c r="L96" s="3"/>
      <c r="M96" s="3">
        <v>36201</v>
      </c>
      <c r="N96" s="3"/>
      <c r="O96" s="3">
        <v>308315</v>
      </c>
      <c r="P96" s="3"/>
      <c r="Q96" s="3">
        <v>0</v>
      </c>
      <c r="R96" s="3"/>
      <c r="S96" s="17">
        <f t="shared" si="1"/>
        <v>344516</v>
      </c>
      <c r="T96" s="3"/>
      <c r="U96" s="3">
        <v>137834</v>
      </c>
      <c r="V96" s="3"/>
      <c r="W96" s="3">
        <f>'St of Net Assets'!O96-U96</f>
        <v>0</v>
      </c>
    </row>
    <row r="97" spans="1:23">
      <c r="A97" s="16" t="s">
        <v>370</v>
      </c>
      <c r="C97" s="16" t="s">
        <v>188</v>
      </c>
      <c r="E97" s="16">
        <v>48058</v>
      </c>
      <c r="G97" s="3">
        <v>0</v>
      </c>
      <c r="H97" s="3"/>
      <c r="I97" s="3">
        <v>0</v>
      </c>
      <c r="J97" s="3"/>
      <c r="K97" s="3">
        <v>0</v>
      </c>
      <c r="L97" s="3"/>
      <c r="M97" s="3">
        <v>0</v>
      </c>
      <c r="N97" s="3"/>
      <c r="O97" s="3">
        <v>103249</v>
      </c>
      <c r="P97" s="3"/>
      <c r="Q97" s="3">
        <v>0</v>
      </c>
      <c r="R97" s="3"/>
      <c r="S97" s="17">
        <f t="shared" si="1"/>
        <v>103249</v>
      </c>
      <c r="T97" s="3"/>
      <c r="U97" s="3">
        <v>41208</v>
      </c>
      <c r="V97" s="3"/>
      <c r="W97" s="3">
        <f>'St of Net Assets'!O97-U97</f>
        <v>0</v>
      </c>
    </row>
    <row r="98" spans="1:23">
      <c r="A98" s="16" t="s">
        <v>371</v>
      </c>
      <c r="C98" s="16" t="s">
        <v>150</v>
      </c>
      <c r="E98" s="16">
        <v>48108</v>
      </c>
      <c r="G98" s="3">
        <v>0</v>
      </c>
      <c r="H98" s="3"/>
      <c r="I98" s="3">
        <v>0</v>
      </c>
      <c r="J98" s="3"/>
      <c r="K98" s="3">
        <v>0</v>
      </c>
      <c r="L98" s="3"/>
      <c r="M98" s="3">
        <v>0</v>
      </c>
      <c r="N98" s="3"/>
      <c r="O98" s="3">
        <v>525321</v>
      </c>
      <c r="P98" s="3"/>
      <c r="Q98" s="3">
        <v>0</v>
      </c>
      <c r="R98" s="3"/>
      <c r="S98" s="17">
        <f t="shared" si="1"/>
        <v>525321</v>
      </c>
      <c r="T98" s="3"/>
      <c r="U98" s="3">
        <v>178816</v>
      </c>
      <c r="V98" s="3"/>
      <c r="W98" s="3">
        <f>'St of Net Assets'!O98-U98</f>
        <v>0</v>
      </c>
    </row>
    <row r="99" spans="1:23">
      <c r="A99" s="16" t="s">
        <v>372</v>
      </c>
      <c r="C99" s="16" t="s">
        <v>189</v>
      </c>
      <c r="E99" s="16">
        <v>48199</v>
      </c>
      <c r="G99" s="3">
        <v>0</v>
      </c>
      <c r="H99" s="3"/>
      <c r="I99" s="3">
        <v>0</v>
      </c>
      <c r="J99" s="3"/>
      <c r="K99" s="3">
        <v>0</v>
      </c>
      <c r="L99" s="3"/>
      <c r="M99" s="3">
        <v>9853</v>
      </c>
      <c r="N99" s="3"/>
      <c r="O99" s="3">
        <v>1650371</v>
      </c>
      <c r="P99" s="3"/>
      <c r="Q99" s="3">
        <v>0</v>
      </c>
      <c r="R99" s="3"/>
      <c r="S99" s="17">
        <f t="shared" si="1"/>
        <v>1660224</v>
      </c>
      <c r="T99" s="3"/>
      <c r="U99" s="3">
        <v>284822</v>
      </c>
      <c r="V99" s="3"/>
      <c r="W99" s="3">
        <f>'St of Net Assets'!O99-U99</f>
        <v>0</v>
      </c>
    </row>
    <row r="100" spans="1:23">
      <c r="A100" s="16" t="s">
        <v>159</v>
      </c>
      <c r="C100" s="16" t="s">
        <v>160</v>
      </c>
      <c r="E100" s="16">
        <v>137364</v>
      </c>
      <c r="G100" s="3">
        <v>0</v>
      </c>
      <c r="H100" s="3"/>
      <c r="I100" s="3">
        <v>0</v>
      </c>
      <c r="J100" s="3"/>
      <c r="K100" s="3">
        <v>0</v>
      </c>
      <c r="L100" s="3"/>
      <c r="M100" s="3">
        <v>90743</v>
      </c>
      <c r="N100" s="3"/>
      <c r="O100" s="3">
        <v>593710</v>
      </c>
      <c r="P100" s="3"/>
      <c r="Q100" s="3">
        <v>0</v>
      </c>
      <c r="R100" s="3"/>
      <c r="S100" s="17">
        <f t="shared" si="1"/>
        <v>684453</v>
      </c>
      <c r="T100" s="3"/>
      <c r="U100" s="3">
        <v>41581</v>
      </c>
      <c r="V100" s="3"/>
      <c r="W100" s="3">
        <f>'St of Net Assets'!O100-U100</f>
        <v>0</v>
      </c>
    </row>
    <row r="101" spans="1:23" ht="12" customHeight="1">
      <c r="A101" s="16" t="s">
        <v>190</v>
      </c>
      <c r="C101" s="16" t="s">
        <v>191</v>
      </c>
      <c r="E101" s="16">
        <v>48280</v>
      </c>
      <c r="G101" s="3">
        <v>0</v>
      </c>
      <c r="H101" s="3"/>
      <c r="I101" s="3">
        <v>0</v>
      </c>
      <c r="J101" s="3"/>
      <c r="K101" s="3">
        <v>0</v>
      </c>
      <c r="L101" s="3"/>
      <c r="M101" s="3">
        <v>0</v>
      </c>
      <c r="N101" s="3"/>
      <c r="O101" s="3">
        <v>531716</v>
      </c>
      <c r="P101" s="3"/>
      <c r="Q101" s="3">
        <v>0</v>
      </c>
      <c r="R101" s="3"/>
      <c r="S101" s="17">
        <f t="shared" si="1"/>
        <v>531716</v>
      </c>
      <c r="T101" s="3"/>
      <c r="U101" s="3">
        <v>147700</v>
      </c>
      <c r="V101" s="3"/>
      <c r="W101" s="3">
        <f>'St of Net Assets'!O101-U101</f>
        <v>0</v>
      </c>
    </row>
    <row r="102" spans="1:23">
      <c r="A102" s="16" t="s">
        <v>192</v>
      </c>
      <c r="C102" s="16" t="s">
        <v>193</v>
      </c>
      <c r="E102" s="16">
        <v>48454</v>
      </c>
      <c r="G102" s="3">
        <v>0</v>
      </c>
      <c r="H102" s="3"/>
      <c r="I102" s="3">
        <v>0</v>
      </c>
      <c r="J102" s="3"/>
      <c r="K102" s="3">
        <v>0</v>
      </c>
      <c r="L102" s="3"/>
      <c r="M102" s="3">
        <v>0</v>
      </c>
      <c r="N102" s="3"/>
      <c r="O102" s="3">
        <v>184468</v>
      </c>
      <c r="P102" s="3"/>
      <c r="Q102" s="3">
        <v>0</v>
      </c>
      <c r="R102" s="3"/>
      <c r="S102" s="17">
        <f t="shared" si="1"/>
        <v>184468</v>
      </c>
      <c r="T102" s="3"/>
      <c r="U102" s="3">
        <v>73803</v>
      </c>
      <c r="V102" s="3"/>
      <c r="W102" s="3">
        <f>'St of Net Assets'!O102-U102</f>
        <v>0</v>
      </c>
    </row>
    <row r="103" spans="1:23" hidden="1">
      <c r="A103" s="3" t="s">
        <v>348</v>
      </c>
      <c r="C103" s="16" t="s">
        <v>195</v>
      </c>
      <c r="E103" s="16">
        <v>48546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17">
        <f t="shared" si="1"/>
        <v>0</v>
      </c>
      <c r="T103" s="3"/>
      <c r="U103" s="3"/>
      <c r="V103" s="3"/>
      <c r="W103" s="3">
        <f>'St of Net Assets'!O103-U103</f>
        <v>0</v>
      </c>
    </row>
    <row r="104" spans="1:23">
      <c r="A104" s="16" t="s">
        <v>196</v>
      </c>
      <c r="C104" s="16" t="s">
        <v>197</v>
      </c>
      <c r="E104" s="16">
        <v>48603</v>
      </c>
      <c r="G104" s="3">
        <v>0</v>
      </c>
      <c r="H104" s="3"/>
      <c r="I104" s="3">
        <v>0</v>
      </c>
      <c r="J104" s="3"/>
      <c r="K104" s="3">
        <v>0</v>
      </c>
      <c r="L104" s="3"/>
      <c r="M104" s="3">
        <v>296586</v>
      </c>
      <c r="N104" s="3"/>
      <c r="O104" s="3">
        <v>668</v>
      </c>
      <c r="P104" s="3"/>
      <c r="Q104" s="3">
        <v>0</v>
      </c>
      <c r="R104" s="3"/>
      <c r="S104" s="17">
        <f t="shared" si="1"/>
        <v>297254</v>
      </c>
      <c r="T104" s="3"/>
      <c r="U104" s="3">
        <v>36343</v>
      </c>
      <c r="V104" s="3"/>
      <c r="W104" s="3">
        <f>'St of Net Assets'!O104-U104</f>
        <v>0</v>
      </c>
    </row>
    <row r="105" spans="1:23" hidden="1">
      <c r="A105" s="3" t="s">
        <v>347</v>
      </c>
      <c r="B105" s="3"/>
      <c r="C105" s="3" t="s">
        <v>212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17">
        <f t="shared" si="1"/>
        <v>0</v>
      </c>
      <c r="T105" s="3"/>
      <c r="U105" s="3"/>
      <c r="V105" s="3"/>
      <c r="W105" s="3">
        <f>'St of Net Assets'!O105-U105</f>
        <v>0</v>
      </c>
    </row>
    <row r="106" spans="1:23">
      <c r="A106" s="16" t="s">
        <v>198</v>
      </c>
      <c r="C106" s="16" t="s">
        <v>199</v>
      </c>
      <c r="E106" s="16">
        <v>48660</v>
      </c>
      <c r="G106" s="3">
        <v>0</v>
      </c>
      <c r="H106" s="3"/>
      <c r="I106" s="3">
        <v>44597</v>
      </c>
      <c r="J106" s="3"/>
      <c r="K106" s="3">
        <v>0</v>
      </c>
      <c r="L106" s="3"/>
      <c r="M106" s="3">
        <v>426462</v>
      </c>
      <c r="N106" s="3"/>
      <c r="O106" s="3">
        <v>636510</v>
      </c>
      <c r="P106" s="3"/>
      <c r="Q106" s="3">
        <v>0</v>
      </c>
      <c r="R106" s="3"/>
      <c r="S106" s="17">
        <f t="shared" si="1"/>
        <v>1107569</v>
      </c>
      <c r="T106" s="3"/>
      <c r="U106" s="3">
        <v>391199</v>
      </c>
      <c r="V106" s="3"/>
      <c r="W106" s="3">
        <f>'St of Net Assets'!O106-U106</f>
        <v>0</v>
      </c>
    </row>
    <row r="107" spans="1:23">
      <c r="A107" s="16" t="s">
        <v>200</v>
      </c>
      <c r="C107" s="16" t="s">
        <v>201</v>
      </c>
      <c r="E107" s="16">
        <v>125252</v>
      </c>
      <c r="G107" s="3">
        <v>0</v>
      </c>
      <c r="H107" s="3"/>
      <c r="I107" s="3">
        <v>0</v>
      </c>
      <c r="J107" s="3"/>
      <c r="K107" s="3">
        <v>0</v>
      </c>
      <c r="L107" s="3"/>
      <c r="M107" s="3">
        <v>0</v>
      </c>
      <c r="N107" s="3"/>
      <c r="O107" s="3">
        <v>798507</v>
      </c>
      <c r="P107" s="3"/>
      <c r="Q107" s="3">
        <v>0</v>
      </c>
      <c r="R107" s="3"/>
      <c r="S107" s="17">
        <f t="shared" si="1"/>
        <v>798507</v>
      </c>
      <c r="T107" s="3"/>
      <c r="U107" s="3">
        <v>83149</v>
      </c>
      <c r="V107" s="3"/>
      <c r="W107" s="3">
        <f>'St of Net Assets'!O107-U107</f>
        <v>0</v>
      </c>
    </row>
    <row r="108" spans="1:23">
      <c r="A108" s="16" t="s">
        <v>326</v>
      </c>
      <c r="C108" s="16" t="s">
        <v>218</v>
      </c>
      <c r="E108" s="16">
        <v>123257</v>
      </c>
      <c r="G108" s="3">
        <v>0</v>
      </c>
      <c r="H108" s="3"/>
      <c r="I108" s="3">
        <v>0</v>
      </c>
      <c r="J108" s="3"/>
      <c r="K108" s="3">
        <v>0</v>
      </c>
      <c r="L108" s="3"/>
      <c r="M108" s="3">
        <v>0</v>
      </c>
      <c r="N108" s="3"/>
      <c r="O108" s="3">
        <v>739814</v>
      </c>
      <c r="P108" s="3"/>
      <c r="Q108" s="3">
        <v>0</v>
      </c>
      <c r="R108" s="3"/>
      <c r="S108" s="17">
        <f t="shared" ref="S108:S112" si="2">SUM(G108:R108)</f>
        <v>739814</v>
      </c>
      <c r="T108" s="3"/>
      <c r="U108" s="3">
        <v>110841</v>
      </c>
      <c r="V108" s="3"/>
      <c r="W108" s="3">
        <f>'St of Net Assets'!O108-U108</f>
        <v>0</v>
      </c>
    </row>
    <row r="109" spans="1:23">
      <c r="A109" s="16" t="s">
        <v>373</v>
      </c>
      <c r="C109" s="16" t="s">
        <v>172</v>
      </c>
      <c r="G109" s="3">
        <v>0</v>
      </c>
      <c r="H109" s="3"/>
      <c r="I109" s="3">
        <v>0</v>
      </c>
      <c r="J109" s="3"/>
      <c r="K109" s="3">
        <v>0</v>
      </c>
      <c r="L109" s="3"/>
      <c r="M109" s="3">
        <v>0</v>
      </c>
      <c r="N109" s="3"/>
      <c r="O109" s="3">
        <v>1626298</v>
      </c>
      <c r="P109" s="3"/>
      <c r="Q109" s="3">
        <v>0</v>
      </c>
      <c r="R109" s="3"/>
      <c r="S109" s="17">
        <f t="shared" si="2"/>
        <v>1626298</v>
      </c>
      <c r="T109" s="3"/>
      <c r="U109" s="3">
        <v>316601</v>
      </c>
      <c r="V109" s="3"/>
      <c r="W109" s="3">
        <f>'St of Net Assets'!O109-U109</f>
        <v>0</v>
      </c>
    </row>
    <row r="110" spans="1:23">
      <c r="A110" s="16" t="s">
        <v>176</v>
      </c>
      <c r="C110" s="3" t="s">
        <v>242</v>
      </c>
      <c r="E110" s="16">
        <v>124297</v>
      </c>
      <c r="G110" s="3">
        <v>0</v>
      </c>
      <c r="H110" s="3"/>
      <c r="I110" s="3">
        <v>0</v>
      </c>
      <c r="J110" s="3"/>
      <c r="K110" s="3">
        <v>0</v>
      </c>
      <c r="L110" s="3"/>
      <c r="M110" s="3">
        <v>13418</v>
      </c>
      <c r="N110" s="3"/>
      <c r="O110" s="3">
        <v>1058495</v>
      </c>
      <c r="P110" s="3"/>
      <c r="Q110" s="3">
        <v>0</v>
      </c>
      <c r="R110" s="3"/>
      <c r="S110" s="17">
        <f t="shared" si="2"/>
        <v>1071913</v>
      </c>
      <c r="T110" s="3"/>
      <c r="U110" s="3">
        <v>75460</v>
      </c>
      <c r="V110" s="3"/>
      <c r="W110" s="3">
        <f>'St of Net Assets'!O110-U110</f>
        <v>0</v>
      </c>
    </row>
    <row r="111" spans="1:23">
      <c r="A111" s="16" t="s">
        <v>313</v>
      </c>
      <c r="C111" s="3" t="s">
        <v>320</v>
      </c>
      <c r="E111" s="16">
        <v>123521</v>
      </c>
      <c r="G111" s="3">
        <f>222632+33786</f>
        <v>256418</v>
      </c>
      <c r="H111" s="3"/>
      <c r="I111" s="3">
        <v>0</v>
      </c>
      <c r="J111" s="3"/>
      <c r="K111" s="3">
        <v>0</v>
      </c>
      <c r="L111" s="3"/>
      <c r="M111" s="3">
        <v>22266</v>
      </c>
      <c r="N111" s="3"/>
      <c r="O111" s="3">
        <v>404232</v>
      </c>
      <c r="P111" s="3"/>
      <c r="Q111" s="3">
        <v>0</v>
      </c>
      <c r="R111" s="3"/>
      <c r="S111" s="17">
        <f t="shared" si="2"/>
        <v>682916</v>
      </c>
      <c r="T111" s="3"/>
      <c r="U111" s="3">
        <v>144627</v>
      </c>
      <c r="V111" s="3"/>
      <c r="W111" s="3">
        <f>'St of Net Assets'!O111-U111</f>
        <v>0</v>
      </c>
    </row>
    <row r="112" spans="1:23">
      <c r="A112" s="16" t="s">
        <v>202</v>
      </c>
      <c r="C112" s="16" t="s">
        <v>203</v>
      </c>
      <c r="E112" s="16">
        <v>125674</v>
      </c>
      <c r="G112" s="3">
        <v>0</v>
      </c>
      <c r="H112" s="3"/>
      <c r="I112" s="3">
        <v>0</v>
      </c>
      <c r="J112" s="3"/>
      <c r="K112" s="3">
        <v>0</v>
      </c>
      <c r="L112" s="3"/>
      <c r="M112" s="3">
        <v>41610</v>
      </c>
      <c r="N112" s="3"/>
      <c r="O112" s="3">
        <v>234147</v>
      </c>
      <c r="P112" s="3"/>
      <c r="Q112" s="3">
        <v>0</v>
      </c>
      <c r="R112" s="3"/>
      <c r="S112" s="17">
        <f t="shared" si="2"/>
        <v>275757</v>
      </c>
      <c r="T112" s="3"/>
      <c r="U112" s="3">
        <v>31485</v>
      </c>
      <c r="V112" s="3"/>
      <c r="W112" s="3">
        <f>'St of Net Assets'!O112-U112</f>
        <v>0</v>
      </c>
    </row>
    <row r="113" spans="1:23">
      <c r="A113" s="16" t="s">
        <v>204</v>
      </c>
      <c r="C113" s="16" t="s">
        <v>205</v>
      </c>
      <c r="E113" s="16">
        <v>49072</v>
      </c>
      <c r="G113" s="3">
        <v>0</v>
      </c>
      <c r="H113" s="3"/>
      <c r="I113" s="3">
        <v>0</v>
      </c>
      <c r="J113" s="3"/>
      <c r="K113" s="3">
        <v>0</v>
      </c>
      <c r="L113" s="3"/>
      <c r="M113" s="3">
        <v>0</v>
      </c>
      <c r="N113" s="3"/>
      <c r="O113" s="3">
        <v>158434</v>
      </c>
      <c r="P113" s="3"/>
      <c r="Q113" s="3">
        <v>0</v>
      </c>
      <c r="R113" s="3"/>
      <c r="S113" s="17">
        <f t="shared" ref="S113:S130" si="3">SUM(G113:R113)</f>
        <v>158434</v>
      </c>
      <c r="T113" s="3"/>
      <c r="U113" s="3">
        <v>9447</v>
      </c>
      <c r="V113" s="3"/>
      <c r="W113" s="3">
        <f>'St of Net Assets'!O113-U113</f>
        <v>0</v>
      </c>
    </row>
    <row r="114" spans="1:23">
      <c r="A114" s="16" t="s">
        <v>206</v>
      </c>
      <c r="C114" s="16" t="s">
        <v>207</v>
      </c>
      <c r="E114" s="16">
        <v>49163</v>
      </c>
      <c r="G114" s="3">
        <v>0</v>
      </c>
      <c r="H114" s="3"/>
      <c r="I114" s="3">
        <v>0</v>
      </c>
      <c r="J114" s="3"/>
      <c r="K114" s="3">
        <v>0</v>
      </c>
      <c r="L114" s="3"/>
      <c r="M114" s="3">
        <v>10771</v>
      </c>
      <c r="N114" s="3"/>
      <c r="O114" s="3">
        <v>69901</v>
      </c>
      <c r="P114" s="3"/>
      <c r="Q114" s="3">
        <v>0</v>
      </c>
      <c r="R114" s="3"/>
      <c r="S114" s="17">
        <f t="shared" si="3"/>
        <v>80672</v>
      </c>
      <c r="T114" s="3"/>
      <c r="U114" s="3">
        <v>23833</v>
      </c>
      <c r="V114" s="3"/>
      <c r="W114" s="3">
        <f>'St of Net Assets'!O114-U114</f>
        <v>0</v>
      </c>
    </row>
    <row r="115" spans="1:23" hidden="1">
      <c r="A115" s="16" t="s">
        <v>349</v>
      </c>
      <c r="C115" s="16" t="s">
        <v>209</v>
      </c>
      <c r="E115" s="16">
        <v>49254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17">
        <f t="shared" si="3"/>
        <v>0</v>
      </c>
      <c r="T115" s="3"/>
      <c r="U115" s="3"/>
      <c r="V115" s="3"/>
      <c r="W115" s="3">
        <f>'St of Net Assets'!O115-U115</f>
        <v>0</v>
      </c>
    </row>
    <row r="116" spans="1:23">
      <c r="A116" s="16" t="s">
        <v>210</v>
      </c>
      <c r="C116" s="16" t="s">
        <v>211</v>
      </c>
      <c r="E116" s="16">
        <v>49304</v>
      </c>
      <c r="G116" s="3">
        <v>0</v>
      </c>
      <c r="H116" s="3"/>
      <c r="I116" s="3">
        <v>0</v>
      </c>
      <c r="J116" s="3"/>
      <c r="K116" s="3">
        <v>0</v>
      </c>
      <c r="L116" s="3"/>
      <c r="M116" s="3">
        <v>693648</v>
      </c>
      <c r="N116" s="3"/>
      <c r="O116" s="3">
        <v>494935</v>
      </c>
      <c r="P116" s="3"/>
      <c r="Q116" s="3">
        <v>0</v>
      </c>
      <c r="R116" s="3"/>
      <c r="S116" s="17">
        <f t="shared" si="3"/>
        <v>1188583</v>
      </c>
      <c r="T116" s="3"/>
      <c r="U116" s="3">
        <v>184294</v>
      </c>
      <c r="V116" s="3"/>
      <c r="W116" s="3">
        <f>'St of Net Assets'!O116-U116</f>
        <v>0</v>
      </c>
    </row>
    <row r="117" spans="1:23">
      <c r="A117" s="16" t="s">
        <v>213</v>
      </c>
      <c r="C117" s="16" t="s">
        <v>214</v>
      </c>
      <c r="E117" s="16">
        <v>138222</v>
      </c>
      <c r="G117" s="3">
        <v>0</v>
      </c>
      <c r="H117" s="3"/>
      <c r="I117" s="3">
        <v>0</v>
      </c>
      <c r="J117" s="3"/>
      <c r="K117" s="3">
        <v>0</v>
      </c>
      <c r="L117" s="3"/>
      <c r="M117" s="3">
        <v>0</v>
      </c>
      <c r="N117" s="3"/>
      <c r="O117" s="3">
        <v>412223</v>
      </c>
      <c r="P117" s="3"/>
      <c r="Q117" s="3">
        <v>0</v>
      </c>
      <c r="R117" s="3"/>
      <c r="S117" s="17">
        <f t="shared" si="3"/>
        <v>412223</v>
      </c>
      <c r="T117" s="3"/>
      <c r="U117" s="3">
        <v>82460</v>
      </c>
      <c r="V117" s="3"/>
      <c r="W117" s="3">
        <f>'St of Net Assets'!O117-U117</f>
        <v>0</v>
      </c>
    </row>
    <row r="118" spans="1:23" hidden="1">
      <c r="A118" s="3" t="s">
        <v>386</v>
      </c>
      <c r="C118" s="16" t="s">
        <v>216</v>
      </c>
      <c r="E118" s="16">
        <v>49551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17">
        <f t="shared" si="3"/>
        <v>0</v>
      </c>
      <c r="T118" s="3"/>
      <c r="U118" s="3"/>
      <c r="V118" s="3"/>
      <c r="W118" s="3">
        <f>'St of Net Assets'!O118-U118</f>
        <v>0</v>
      </c>
    </row>
    <row r="119" spans="1:23">
      <c r="A119" s="16" t="s">
        <v>219</v>
      </c>
      <c r="C119" s="16" t="s">
        <v>220</v>
      </c>
      <c r="E119" s="16">
        <v>49742</v>
      </c>
      <c r="G119" s="3">
        <v>0</v>
      </c>
      <c r="H119" s="3"/>
      <c r="I119" s="3">
        <v>0</v>
      </c>
      <c r="J119" s="3"/>
      <c r="K119" s="3">
        <v>0</v>
      </c>
      <c r="L119" s="3"/>
      <c r="M119" s="3">
        <v>58697</v>
      </c>
      <c r="N119" s="3"/>
      <c r="O119" s="3">
        <v>109245</v>
      </c>
      <c r="P119" s="3"/>
      <c r="Q119" s="3">
        <v>0</v>
      </c>
      <c r="R119" s="3"/>
      <c r="S119" s="17">
        <f t="shared" si="3"/>
        <v>167942</v>
      </c>
      <c r="T119" s="3"/>
      <c r="U119" s="3">
        <v>48114</v>
      </c>
      <c r="V119" s="3"/>
      <c r="W119" s="3">
        <f>'St of Net Assets'!O119-U119</f>
        <v>0</v>
      </c>
    </row>
    <row r="120" spans="1:23">
      <c r="A120" s="16" t="s">
        <v>324</v>
      </c>
      <c r="C120" s="16" t="s">
        <v>217</v>
      </c>
      <c r="E120" s="16">
        <v>125658</v>
      </c>
      <c r="G120" s="3">
        <v>0</v>
      </c>
      <c r="H120" s="3"/>
      <c r="I120" s="3">
        <v>0</v>
      </c>
      <c r="J120" s="3"/>
      <c r="K120" s="3">
        <v>0</v>
      </c>
      <c r="L120" s="3"/>
      <c r="M120" s="3">
        <v>42306</v>
      </c>
      <c r="N120" s="3"/>
      <c r="O120" s="3">
        <v>332878</v>
      </c>
      <c r="P120" s="3"/>
      <c r="Q120" s="3">
        <v>0</v>
      </c>
      <c r="R120" s="3"/>
      <c r="S120" s="17">
        <f t="shared" si="3"/>
        <v>375184</v>
      </c>
      <c r="T120" s="3"/>
      <c r="U120" s="3">
        <v>137642</v>
      </c>
      <c r="V120" s="3"/>
      <c r="W120" s="3">
        <f>'St of Net Assets'!O120-U120</f>
        <v>0</v>
      </c>
    </row>
    <row r="121" spans="1:23">
      <c r="A121" s="3" t="s">
        <v>323</v>
      </c>
      <c r="B121" s="3"/>
      <c r="C121" s="3" t="s">
        <v>164</v>
      </c>
      <c r="G121" s="3">
        <v>0</v>
      </c>
      <c r="H121" s="3"/>
      <c r="I121" s="3">
        <v>0</v>
      </c>
      <c r="J121" s="3"/>
      <c r="K121" s="3">
        <v>0</v>
      </c>
      <c r="L121" s="3"/>
      <c r="M121" s="3">
        <v>0</v>
      </c>
      <c r="N121" s="3"/>
      <c r="O121" s="3">
        <v>318144</v>
      </c>
      <c r="P121" s="3"/>
      <c r="Q121" s="3">
        <v>0</v>
      </c>
      <c r="R121" s="3"/>
      <c r="S121" s="17">
        <f>SUM(G121:R121)</f>
        <v>318144</v>
      </c>
      <c r="T121" s="3"/>
      <c r="U121" s="3">
        <v>33214</v>
      </c>
      <c r="V121" s="3"/>
      <c r="W121" s="3">
        <f>'St of Net Assets'!O121-U121</f>
        <v>0</v>
      </c>
    </row>
    <row r="122" spans="1:23">
      <c r="A122" s="16" t="s">
        <v>355</v>
      </c>
      <c r="C122" s="16" t="s">
        <v>221</v>
      </c>
      <c r="E122" s="16">
        <v>49825</v>
      </c>
      <c r="G122" s="3">
        <v>0</v>
      </c>
      <c r="H122" s="3"/>
      <c r="I122" s="3">
        <v>0</v>
      </c>
      <c r="J122" s="3"/>
      <c r="K122" s="3">
        <v>0</v>
      </c>
      <c r="L122" s="3"/>
      <c r="M122" s="3">
        <v>0</v>
      </c>
      <c r="N122" s="3"/>
      <c r="O122" s="3">
        <v>862375</v>
      </c>
      <c r="P122" s="3"/>
      <c r="Q122" s="3">
        <v>0</v>
      </c>
      <c r="R122" s="3"/>
      <c r="S122" s="17">
        <f t="shared" si="3"/>
        <v>862375</v>
      </c>
      <c r="T122" s="3"/>
      <c r="U122" s="3">
        <v>122192</v>
      </c>
      <c r="V122" s="3"/>
      <c r="W122" s="3">
        <f>'St of Net Assets'!O122-U122</f>
        <v>0</v>
      </c>
    </row>
    <row r="123" spans="1:23">
      <c r="A123" s="16" t="s">
        <v>222</v>
      </c>
      <c r="C123" s="16" t="s">
        <v>223</v>
      </c>
      <c r="E123" s="16">
        <v>49965</v>
      </c>
      <c r="G123" s="3">
        <v>0</v>
      </c>
      <c r="H123" s="3"/>
      <c r="I123" s="3">
        <v>0</v>
      </c>
      <c r="J123" s="3"/>
      <c r="K123" s="3">
        <v>0</v>
      </c>
      <c r="L123" s="3"/>
      <c r="M123" s="3">
        <v>1110139</v>
      </c>
      <c r="N123" s="3"/>
      <c r="O123" s="3">
        <v>190005</v>
      </c>
      <c r="P123" s="3"/>
      <c r="Q123" s="3">
        <v>0</v>
      </c>
      <c r="R123" s="3"/>
      <c r="S123" s="17">
        <f t="shared" si="3"/>
        <v>1300144</v>
      </c>
      <c r="T123" s="3"/>
      <c r="U123" s="3">
        <v>96773</v>
      </c>
      <c r="V123" s="3"/>
      <c r="W123" s="3">
        <f>'St of Net Assets'!O123-U123</f>
        <v>0</v>
      </c>
    </row>
    <row r="124" spans="1:23">
      <c r="A124" s="16" t="s">
        <v>233</v>
      </c>
      <c r="C124" s="16" t="s">
        <v>234</v>
      </c>
      <c r="E124" s="16">
        <v>50526</v>
      </c>
      <c r="G124" s="3">
        <v>0</v>
      </c>
      <c r="H124" s="3"/>
      <c r="I124" s="3">
        <v>0</v>
      </c>
      <c r="J124" s="3"/>
      <c r="K124" s="3">
        <v>0</v>
      </c>
      <c r="L124" s="3"/>
      <c r="M124" s="3">
        <v>0</v>
      </c>
      <c r="N124" s="3"/>
      <c r="O124" s="3">
        <v>461817</v>
      </c>
      <c r="P124" s="3"/>
      <c r="Q124" s="3">
        <v>0</v>
      </c>
      <c r="R124" s="3"/>
      <c r="S124" s="17">
        <f t="shared" si="3"/>
        <v>461817</v>
      </c>
      <c r="T124" s="3"/>
      <c r="U124" s="3">
        <v>240746</v>
      </c>
      <c r="V124" s="3"/>
      <c r="W124" s="3">
        <f>'St of Net Assets'!O124-U124</f>
        <v>0</v>
      </c>
    </row>
    <row r="125" spans="1:23">
      <c r="A125" s="16" t="s">
        <v>224</v>
      </c>
      <c r="C125" s="16" t="s">
        <v>225</v>
      </c>
      <c r="E125" s="16">
        <v>50088</v>
      </c>
      <c r="G125" s="3">
        <v>0</v>
      </c>
      <c r="H125" s="3"/>
      <c r="I125" s="3">
        <v>0</v>
      </c>
      <c r="J125" s="3"/>
      <c r="K125" s="3">
        <v>0</v>
      </c>
      <c r="L125" s="3"/>
      <c r="M125" s="3">
        <v>0</v>
      </c>
      <c r="N125" s="3"/>
      <c r="O125" s="3">
        <v>736218</v>
      </c>
      <c r="P125" s="3"/>
      <c r="Q125" s="3">
        <v>0</v>
      </c>
      <c r="R125" s="3"/>
      <c r="S125" s="17">
        <f t="shared" si="3"/>
        <v>736218</v>
      </c>
      <c r="T125" s="3"/>
      <c r="U125" s="3">
        <v>87312</v>
      </c>
      <c r="V125" s="3"/>
      <c r="W125" s="3">
        <f>'St of Net Assets'!O125-U125</f>
        <v>0</v>
      </c>
    </row>
    <row r="126" spans="1:23" hidden="1">
      <c r="A126" s="3" t="s">
        <v>385</v>
      </c>
      <c r="C126" s="16" t="s">
        <v>227</v>
      </c>
      <c r="E126" s="16">
        <v>50260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17">
        <f t="shared" si="3"/>
        <v>0</v>
      </c>
      <c r="T126" s="3"/>
      <c r="U126" s="3"/>
      <c r="V126" s="3"/>
      <c r="W126" s="3">
        <f>'St of Net Assets'!O126-U126</f>
        <v>0</v>
      </c>
    </row>
    <row r="127" spans="1:23" hidden="1">
      <c r="A127" s="3" t="s">
        <v>352</v>
      </c>
      <c r="C127" s="16" t="s">
        <v>231</v>
      </c>
      <c r="E127" s="16">
        <v>50401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17">
        <f t="shared" si="3"/>
        <v>0</v>
      </c>
      <c r="T127" s="3"/>
      <c r="U127" s="3"/>
      <c r="V127" s="3"/>
      <c r="W127" s="3">
        <f>'St of Net Assets'!O127-U127</f>
        <v>0</v>
      </c>
    </row>
    <row r="128" spans="1:23" hidden="1">
      <c r="A128" s="3" t="s">
        <v>387</v>
      </c>
      <c r="C128" s="16" t="s">
        <v>232</v>
      </c>
      <c r="E128" s="16">
        <v>50476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17">
        <f t="shared" si="3"/>
        <v>0</v>
      </c>
      <c r="T128" s="3"/>
      <c r="U128" s="3"/>
      <c r="V128" s="3"/>
      <c r="W128" s="3">
        <f>'St of Net Assets'!O128-U128</f>
        <v>0</v>
      </c>
    </row>
    <row r="129" spans="1:23">
      <c r="A129" s="16" t="s">
        <v>228</v>
      </c>
      <c r="C129" s="16" t="s">
        <v>317</v>
      </c>
      <c r="E129" s="16">
        <v>134999</v>
      </c>
      <c r="G129" s="3">
        <v>0</v>
      </c>
      <c r="H129" s="3"/>
      <c r="I129" s="3">
        <v>0</v>
      </c>
      <c r="J129" s="3"/>
      <c r="K129" s="3">
        <v>0</v>
      </c>
      <c r="L129" s="3"/>
      <c r="M129" s="3">
        <v>0</v>
      </c>
      <c r="N129" s="3"/>
      <c r="O129" s="3">
        <v>218704</v>
      </c>
      <c r="P129" s="3"/>
      <c r="Q129" s="3">
        <v>0</v>
      </c>
      <c r="R129" s="3"/>
      <c r="S129" s="17">
        <f t="shared" si="3"/>
        <v>218704</v>
      </c>
      <c r="T129" s="3"/>
      <c r="U129" s="3">
        <v>25300</v>
      </c>
      <c r="V129" s="3"/>
      <c r="W129" s="3">
        <f>'St of Net Assets'!O129-U129</f>
        <v>0</v>
      </c>
    </row>
    <row r="130" spans="1:23">
      <c r="A130" s="16" t="s">
        <v>235</v>
      </c>
      <c r="C130" s="16" t="s">
        <v>236</v>
      </c>
      <c r="E130" s="16">
        <v>50666</v>
      </c>
      <c r="G130" s="3">
        <v>0</v>
      </c>
      <c r="H130" s="3"/>
      <c r="I130" s="3">
        <v>0</v>
      </c>
      <c r="J130" s="3"/>
      <c r="K130" s="3">
        <v>0</v>
      </c>
      <c r="L130" s="3"/>
      <c r="M130" s="3">
        <v>0</v>
      </c>
      <c r="N130" s="3"/>
      <c r="O130" s="3">
        <v>846920</v>
      </c>
      <c r="P130" s="3"/>
      <c r="Q130" s="3">
        <v>0</v>
      </c>
      <c r="R130" s="3"/>
      <c r="S130" s="17">
        <f t="shared" si="3"/>
        <v>846920</v>
      </c>
      <c r="T130" s="3"/>
      <c r="U130" s="3">
        <v>98375</v>
      </c>
      <c r="V130" s="3"/>
      <c r="W130" s="3">
        <f>'St of Net Assets'!O130-U130</f>
        <v>0</v>
      </c>
    </row>
    <row r="131" spans="1:23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3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3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3"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3"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3"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3"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45" spans="7:21"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7"/>
      <c r="T145" s="3"/>
      <c r="U145" s="3"/>
    </row>
  </sheetData>
  <phoneticPr fontId="3" type="noConversion"/>
  <pageMargins left="0.9" right="0.75" top="0.5" bottom="0.5" header="0.25" footer="0.25"/>
  <pageSetup scale="80" firstPageNumber="66" pageOrder="overThenDown" orientation="portrait" useFirstPageNumber="1" r:id="rId1"/>
  <headerFooter scaleWithDoc="0" alignWithMargins="0">
    <oddFooter>&amp;C&amp;"Times New Roman,Regular"&amp;12&amp;P</oddFooter>
  </headerFooter>
  <rowBreaks count="1" manualBreakCount="1">
    <brk id="6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9"/>
  <sheetViews>
    <sheetView zoomScaleNormal="100" zoomScaleSheetLayoutView="10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43" sqref="A43"/>
    </sheetView>
  </sheetViews>
  <sheetFormatPr defaultRowHeight="12.75"/>
  <cols>
    <col min="1" max="1" width="40.7109375" style="24" customWidth="1"/>
    <col min="2" max="2" width="2.28515625" style="24" customWidth="1"/>
    <col min="3" max="3" width="8.7109375" style="24" customWidth="1"/>
    <col min="4" max="4" width="1.7109375" style="24" hidden="1" customWidth="1"/>
    <col min="5" max="5" width="9.140625" style="24" hidden="1" customWidth="1"/>
    <col min="6" max="6" width="1.7109375" style="24" customWidth="1"/>
    <col min="7" max="7" width="9.7109375" style="24" customWidth="1"/>
    <col min="8" max="8" width="1.7109375" style="24" customWidth="1"/>
    <col min="9" max="9" width="9.7109375" style="24" customWidth="1"/>
    <col min="10" max="10" width="1.7109375" style="24" customWidth="1"/>
    <col min="11" max="11" width="9.7109375" style="24" customWidth="1"/>
    <col min="12" max="12" width="1.7109375" style="24" customWidth="1"/>
    <col min="13" max="13" width="9.7109375" style="24" customWidth="1"/>
    <col min="14" max="14" width="1.7109375" style="24" customWidth="1"/>
    <col min="15" max="15" width="9.28515625" style="24" bestFit="1" customWidth="1"/>
    <col min="16" max="16" width="1.85546875" style="43" customWidth="1"/>
    <col min="17" max="17" width="9.7109375" style="24" customWidth="1"/>
    <col min="18" max="18" width="1.7109375" style="24" customWidth="1"/>
    <col min="19" max="19" width="8.7109375" style="24" bestFit="1" customWidth="1"/>
    <col min="20" max="20" width="1.7109375" style="24" customWidth="1"/>
    <col min="21" max="21" width="8" style="24" customWidth="1"/>
    <col min="22" max="22" width="1.7109375" style="24" customWidth="1"/>
    <col min="23" max="23" width="9.5703125" style="24" customWidth="1"/>
    <col min="24" max="24" width="1.7109375" style="24" customWidth="1"/>
    <col min="25" max="25" width="9.5703125" style="24" customWidth="1"/>
    <col min="26" max="26" width="1.7109375" style="24" customWidth="1"/>
    <col min="27" max="27" width="7" style="24" customWidth="1"/>
    <col min="28" max="28" width="1.7109375" style="24" customWidth="1"/>
    <col min="29" max="29" width="10" style="24" customWidth="1"/>
    <col min="30" max="30" width="1.7109375" style="24" customWidth="1"/>
    <col min="31" max="31" width="9.5703125" style="24" customWidth="1"/>
    <col min="32" max="32" width="1.7109375" style="24" customWidth="1"/>
    <col min="33" max="33" width="10.85546875" style="24" bestFit="1" customWidth="1"/>
    <col min="34" max="16384" width="9.140625" style="24"/>
  </cols>
  <sheetData>
    <row r="1" spans="1:36" s="16" customFormat="1">
      <c r="A1" s="19" t="s">
        <v>22</v>
      </c>
      <c r="B1" s="19"/>
      <c r="C1" s="19"/>
      <c r="D1" s="19"/>
      <c r="E1" s="19"/>
      <c r="G1" s="3"/>
      <c r="H1" s="3"/>
      <c r="I1" s="3"/>
      <c r="J1" s="3"/>
      <c r="K1" s="3"/>
      <c r="L1" s="3"/>
      <c r="M1" s="3"/>
      <c r="N1" s="3"/>
      <c r="O1" s="3"/>
      <c r="P1" s="1"/>
      <c r="Q1" s="3"/>
      <c r="R1" s="3"/>
      <c r="S1" s="3"/>
      <c r="T1" s="3"/>
      <c r="U1" s="3"/>
      <c r="V1" s="3"/>
      <c r="W1" s="3"/>
      <c r="X1" s="24"/>
      <c r="Y1" s="3"/>
      <c r="Z1" s="3"/>
      <c r="AA1" s="3"/>
      <c r="AB1" s="3"/>
      <c r="AC1" s="3"/>
      <c r="AD1" s="3"/>
      <c r="AE1" s="3"/>
    </row>
    <row r="2" spans="1:36" s="16" customFormat="1">
      <c r="A2" s="19" t="s">
        <v>358</v>
      </c>
      <c r="B2" s="19"/>
      <c r="C2" s="19"/>
      <c r="D2" s="19"/>
      <c r="E2" s="19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/>
      <c r="W2" s="3"/>
      <c r="X2" s="24"/>
      <c r="Y2" s="3"/>
      <c r="Z2" s="3"/>
      <c r="AA2" s="3"/>
      <c r="AB2" s="3"/>
      <c r="AC2" s="3"/>
      <c r="AD2" s="3"/>
      <c r="AE2" s="3"/>
    </row>
    <row r="3" spans="1:36" s="16" customFormat="1">
      <c r="A3" s="46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/>
      <c r="W3" s="3"/>
      <c r="X3" s="24"/>
      <c r="Y3" s="3"/>
      <c r="Z3" s="3"/>
      <c r="AA3" s="3"/>
      <c r="AB3" s="3"/>
      <c r="AC3" s="3"/>
      <c r="AD3" s="3"/>
      <c r="AE3" s="3"/>
    </row>
    <row r="4" spans="1:36" s="16" customFormat="1">
      <c r="A4" s="19" t="s">
        <v>316</v>
      </c>
      <c r="B4" s="19"/>
      <c r="C4" s="19"/>
      <c r="D4" s="19"/>
      <c r="E4" s="19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/>
      <c r="W4" s="3"/>
      <c r="X4" s="24"/>
      <c r="Y4" s="3"/>
      <c r="Z4" s="3"/>
      <c r="AA4" s="3"/>
      <c r="AB4" s="3"/>
      <c r="AC4" s="3"/>
      <c r="AD4" s="3"/>
      <c r="AE4" s="3"/>
    </row>
    <row r="5" spans="1:36" s="16" customFormat="1">
      <c r="A5" s="19"/>
      <c r="B5" s="19"/>
      <c r="C5" s="19"/>
      <c r="D5" s="19"/>
      <c r="E5" s="19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/>
      <c r="W5" s="3"/>
      <c r="X5" s="24"/>
      <c r="Y5" s="3"/>
      <c r="Z5" s="3"/>
      <c r="AA5" s="3"/>
      <c r="AB5" s="3"/>
      <c r="AC5" s="3"/>
      <c r="AD5" s="3"/>
      <c r="AE5" s="3"/>
      <c r="AG5" s="16" t="s">
        <v>329</v>
      </c>
    </row>
    <row r="6" spans="1:36" s="20" customFormat="1">
      <c r="F6" s="5"/>
      <c r="G6" s="73" t="s">
        <v>23</v>
      </c>
      <c r="H6" s="73"/>
      <c r="I6" s="73"/>
      <c r="J6" s="73"/>
      <c r="K6" s="73"/>
      <c r="L6" s="2" t="s">
        <v>24</v>
      </c>
      <c r="M6" s="2"/>
      <c r="N6" s="11"/>
      <c r="O6" s="73" t="s">
        <v>25</v>
      </c>
      <c r="P6" s="73"/>
      <c r="Q6" s="73"/>
      <c r="R6" s="73"/>
      <c r="S6" s="73"/>
      <c r="T6" s="73"/>
      <c r="U6" s="73"/>
      <c r="V6" s="73"/>
      <c r="W6" s="73"/>
      <c r="X6" s="73"/>
      <c r="Y6" s="73"/>
      <c r="Z6" s="36"/>
      <c r="AA6" s="11"/>
      <c r="AB6" s="11"/>
      <c r="AC6" s="11" t="s">
        <v>8</v>
      </c>
      <c r="AD6" s="11"/>
      <c r="AE6" s="11"/>
      <c r="AG6" s="20" t="s">
        <v>330</v>
      </c>
    </row>
    <row r="7" spans="1:36" s="20" customFormat="1">
      <c r="G7" s="11"/>
      <c r="H7" s="11"/>
      <c r="I7" s="11" t="s">
        <v>26</v>
      </c>
      <c r="J7" s="11"/>
      <c r="K7" s="11"/>
      <c r="L7" s="11"/>
      <c r="M7" s="11"/>
      <c r="N7" s="11"/>
      <c r="O7" s="11"/>
      <c r="P7" s="2"/>
      <c r="Q7" s="11"/>
      <c r="R7" s="11"/>
      <c r="S7" s="11"/>
      <c r="T7" s="11"/>
      <c r="U7" s="11"/>
      <c r="V7" s="11"/>
      <c r="W7" s="11" t="s">
        <v>19</v>
      </c>
      <c r="X7" s="11"/>
      <c r="Y7" s="11"/>
      <c r="Z7" s="36"/>
      <c r="AA7" s="2"/>
      <c r="AB7" s="2"/>
      <c r="AC7" s="11" t="s">
        <v>27</v>
      </c>
      <c r="AD7" s="11"/>
      <c r="AE7" s="11"/>
      <c r="AG7" s="11" t="s">
        <v>331</v>
      </c>
    </row>
    <row r="8" spans="1:36" s="20" customFormat="1">
      <c r="G8" s="11"/>
      <c r="H8" s="11"/>
      <c r="I8" s="11" t="s">
        <v>28</v>
      </c>
      <c r="J8" s="11"/>
      <c r="K8" s="11"/>
      <c r="L8" s="11"/>
      <c r="M8" s="11" t="s">
        <v>8</v>
      </c>
      <c r="N8" s="11"/>
      <c r="P8" s="37"/>
      <c r="Q8" s="20" t="s">
        <v>19</v>
      </c>
      <c r="U8" s="20" t="s">
        <v>30</v>
      </c>
      <c r="W8" s="9" t="s">
        <v>31</v>
      </c>
      <c r="Z8" s="36"/>
      <c r="AC8" s="2" t="s">
        <v>33</v>
      </c>
      <c r="AD8" s="2"/>
      <c r="AE8" s="2" t="s">
        <v>32</v>
      </c>
      <c r="AG8" s="11" t="s">
        <v>332</v>
      </c>
    </row>
    <row r="9" spans="1:36" s="20" customFormat="1">
      <c r="A9" s="9"/>
      <c r="B9" s="9"/>
      <c r="C9" s="9"/>
      <c r="D9" s="9"/>
      <c r="E9" s="9"/>
      <c r="F9" s="9"/>
      <c r="G9" s="11" t="s">
        <v>34</v>
      </c>
      <c r="H9" s="11"/>
      <c r="I9" s="11" t="s">
        <v>31</v>
      </c>
      <c r="J9" s="11"/>
      <c r="K9" s="11" t="s">
        <v>6</v>
      </c>
      <c r="L9" s="11"/>
      <c r="M9" s="11" t="s">
        <v>35</v>
      </c>
      <c r="N9" s="11"/>
      <c r="O9" s="2" t="s">
        <v>36</v>
      </c>
      <c r="P9" s="2"/>
      <c r="Q9" s="2" t="s">
        <v>37</v>
      </c>
      <c r="R9" s="2"/>
      <c r="S9" s="11" t="s">
        <v>38</v>
      </c>
      <c r="T9" s="11"/>
      <c r="U9" s="2" t="s">
        <v>41</v>
      </c>
      <c r="V9" s="2"/>
      <c r="W9" s="9" t="s">
        <v>42</v>
      </c>
      <c r="X9" s="2"/>
      <c r="Y9" s="11"/>
      <c r="Z9" s="36"/>
      <c r="AA9" s="2" t="s">
        <v>43</v>
      </c>
      <c r="AB9" s="2"/>
      <c r="AC9" s="2" t="s">
        <v>42</v>
      </c>
      <c r="AD9" s="11"/>
      <c r="AE9" s="11" t="s">
        <v>44</v>
      </c>
      <c r="AG9" s="11" t="s">
        <v>32</v>
      </c>
    </row>
    <row r="10" spans="1:36" s="20" customFormat="1">
      <c r="A10" s="38" t="s">
        <v>354</v>
      </c>
      <c r="C10" s="38" t="s">
        <v>12</v>
      </c>
      <c r="E10" s="38" t="s">
        <v>13</v>
      </c>
      <c r="F10" s="9"/>
      <c r="G10" s="72" t="s">
        <v>45</v>
      </c>
      <c r="H10" s="11"/>
      <c r="I10" s="72" t="s">
        <v>46</v>
      </c>
      <c r="J10" s="11"/>
      <c r="K10" s="72" t="s">
        <v>47</v>
      </c>
      <c r="L10" s="2"/>
      <c r="M10" s="72" t="s">
        <v>33</v>
      </c>
      <c r="N10" s="11"/>
      <c r="O10" s="72" t="s">
        <v>48</v>
      </c>
      <c r="P10" s="2"/>
      <c r="Q10" s="72" t="s">
        <v>49</v>
      </c>
      <c r="R10" s="2"/>
      <c r="S10" s="72" t="s">
        <v>50</v>
      </c>
      <c r="T10" s="2"/>
      <c r="U10" s="72" t="s">
        <v>48</v>
      </c>
      <c r="V10" s="2"/>
      <c r="W10" s="14" t="s">
        <v>53</v>
      </c>
      <c r="X10" s="11"/>
      <c r="Y10" s="72" t="s">
        <v>134</v>
      </c>
      <c r="Z10" s="36"/>
      <c r="AA10" s="38" t="s">
        <v>283</v>
      </c>
      <c r="AB10" s="37"/>
      <c r="AC10" s="72" t="s">
        <v>69</v>
      </c>
      <c r="AD10" s="11"/>
      <c r="AE10" s="72" t="s">
        <v>54</v>
      </c>
      <c r="AF10" s="37"/>
      <c r="AG10" s="72" t="s">
        <v>282</v>
      </c>
    </row>
    <row r="11" spans="1:36" s="20" customFormat="1">
      <c r="A11" s="37"/>
      <c r="C11" s="37"/>
      <c r="E11" s="37"/>
      <c r="F11" s="9"/>
      <c r="G11" s="2"/>
      <c r="H11" s="11"/>
      <c r="I11" s="2"/>
      <c r="J11" s="11"/>
      <c r="K11" s="2"/>
      <c r="L11" s="2"/>
      <c r="M11" s="2"/>
      <c r="N11" s="11"/>
      <c r="O11" s="2"/>
      <c r="P11" s="2"/>
      <c r="Q11" s="2"/>
      <c r="R11" s="2"/>
      <c r="S11" s="2"/>
      <c r="T11" s="2"/>
      <c r="U11" s="2"/>
      <c r="V11" s="2"/>
      <c r="W11" s="9"/>
      <c r="X11" s="11"/>
      <c r="Y11" s="2"/>
      <c r="Z11" s="36"/>
      <c r="AA11" s="37"/>
      <c r="AB11" s="37"/>
      <c r="AC11" s="2"/>
      <c r="AD11" s="11"/>
      <c r="AE11" s="2"/>
      <c r="AF11" s="37"/>
      <c r="AG11" s="2"/>
    </row>
    <row r="12" spans="1:36" s="20" customFormat="1">
      <c r="A12" s="39" t="s">
        <v>308</v>
      </c>
      <c r="C12" s="37"/>
      <c r="E12" s="37"/>
      <c r="F12" s="9"/>
      <c r="G12" s="2"/>
      <c r="H12" s="11"/>
      <c r="I12" s="2"/>
      <c r="J12" s="11"/>
      <c r="K12" s="2"/>
      <c r="L12" s="2"/>
      <c r="M12" s="2"/>
      <c r="N12" s="11"/>
      <c r="O12" s="2"/>
      <c r="P12" s="2"/>
      <c r="Q12" s="2"/>
      <c r="R12" s="2"/>
      <c r="S12" s="2"/>
      <c r="T12" s="2"/>
      <c r="U12" s="2"/>
      <c r="V12" s="2"/>
      <c r="W12" s="9"/>
      <c r="X12" s="11"/>
      <c r="Y12" s="2"/>
      <c r="Z12" s="36"/>
      <c r="AA12" s="37"/>
      <c r="AB12" s="37"/>
      <c r="AC12" s="2"/>
      <c r="AD12" s="11"/>
      <c r="AE12" s="11"/>
      <c r="AG12" s="2"/>
    </row>
    <row r="13" spans="1:36" s="20" customFormat="1">
      <c r="A13" s="39"/>
      <c r="C13" s="37"/>
      <c r="E13" s="37"/>
      <c r="F13" s="9"/>
      <c r="G13" s="2"/>
      <c r="H13" s="11"/>
      <c r="I13" s="2"/>
      <c r="J13" s="11"/>
      <c r="K13" s="2"/>
      <c r="L13" s="2"/>
      <c r="M13" s="2"/>
      <c r="N13" s="11"/>
      <c r="O13" s="2"/>
      <c r="P13" s="2"/>
      <c r="Q13" s="2"/>
      <c r="R13" s="2"/>
      <c r="S13" s="2"/>
      <c r="T13" s="2"/>
      <c r="U13" s="2"/>
      <c r="V13" s="2"/>
      <c r="W13" s="9"/>
      <c r="X13" s="11"/>
      <c r="Y13" s="2"/>
      <c r="Z13" s="36"/>
      <c r="AA13" s="37"/>
      <c r="AB13" s="37"/>
      <c r="AC13" s="2"/>
      <c r="AD13" s="11"/>
      <c r="AE13" s="11"/>
      <c r="AG13" s="2"/>
    </row>
    <row r="14" spans="1:36" s="20" customFormat="1">
      <c r="A14" s="3" t="s">
        <v>359</v>
      </c>
      <c r="B14" s="3"/>
      <c r="C14" s="3" t="s">
        <v>321</v>
      </c>
      <c r="E14" s="37"/>
      <c r="F14" s="9"/>
      <c r="G14" s="34">
        <v>4437184</v>
      </c>
      <c r="H14" s="34"/>
      <c r="I14" s="34">
        <v>1324900</v>
      </c>
      <c r="J14" s="34"/>
      <c r="K14" s="34">
        <v>0</v>
      </c>
      <c r="L14" s="34"/>
      <c r="M14" s="34">
        <f>SUM(G14:L14)</f>
        <v>5762084</v>
      </c>
      <c r="N14" s="34"/>
      <c r="O14" s="34">
        <v>3659759</v>
      </c>
      <c r="P14" s="40"/>
      <c r="Q14" s="34">
        <v>6304722</v>
      </c>
      <c r="R14" s="34"/>
      <c r="S14" s="34">
        <v>43317</v>
      </c>
      <c r="T14" s="34"/>
      <c r="U14" s="34">
        <v>0</v>
      </c>
      <c r="V14" s="34"/>
      <c r="W14" s="34">
        <v>0</v>
      </c>
      <c r="X14" s="34"/>
      <c r="Y14" s="34">
        <v>433590</v>
      </c>
      <c r="Z14" s="41"/>
      <c r="AA14" s="34">
        <v>0</v>
      </c>
      <c r="AB14" s="34"/>
      <c r="AC14" s="34">
        <f t="shared" ref="AC14:AC21" si="0">SUM(O14:AA14)</f>
        <v>10441388</v>
      </c>
      <c r="AD14" s="34"/>
      <c r="AE14" s="34">
        <v>0</v>
      </c>
      <c r="AF14" s="34"/>
      <c r="AG14" s="34">
        <f t="shared" ref="AG14:AG43" si="1">+AC14+M14</f>
        <v>16203472</v>
      </c>
      <c r="AH14" s="24"/>
      <c r="AI14" s="24"/>
      <c r="AJ14" s="24"/>
    </row>
    <row r="15" spans="1:36">
      <c r="A15" s="3" t="s">
        <v>286</v>
      </c>
      <c r="B15" s="16"/>
      <c r="C15" s="16" t="s">
        <v>151</v>
      </c>
      <c r="E15" s="16">
        <v>62042</v>
      </c>
      <c r="G15" s="3">
        <v>987069</v>
      </c>
      <c r="H15" s="3"/>
      <c r="I15" s="3">
        <v>1245286</v>
      </c>
      <c r="J15" s="3"/>
      <c r="K15" s="3">
        <v>99484</v>
      </c>
      <c r="L15" s="3"/>
      <c r="M15" s="3">
        <f>SUM(G15:L15)</f>
        <v>2331839</v>
      </c>
      <c r="N15" s="3"/>
      <c r="O15" s="3">
        <f>2357629+370658</f>
        <v>2728287</v>
      </c>
      <c r="P15" s="1"/>
      <c r="Q15" s="3">
        <v>2851284</v>
      </c>
      <c r="R15" s="3"/>
      <c r="S15" s="3">
        <v>38343</v>
      </c>
      <c r="T15" s="3"/>
      <c r="U15" s="3">
        <v>0</v>
      </c>
      <c r="V15" s="3"/>
      <c r="W15" s="3">
        <v>0</v>
      </c>
      <c r="X15" s="3"/>
      <c r="Y15" s="3">
        <v>47407</v>
      </c>
      <c r="Z15" s="27"/>
      <c r="AA15" s="3">
        <v>0</v>
      </c>
      <c r="AB15" s="3"/>
      <c r="AC15" s="3">
        <f t="shared" si="0"/>
        <v>5665321</v>
      </c>
      <c r="AD15" s="3"/>
      <c r="AE15" s="3">
        <v>0</v>
      </c>
      <c r="AF15" s="3"/>
      <c r="AG15" s="3">
        <f t="shared" si="1"/>
        <v>7997160</v>
      </c>
    </row>
    <row r="16" spans="1:36">
      <c r="A16" s="3" t="s">
        <v>237</v>
      </c>
      <c r="B16" s="16"/>
      <c r="C16" s="16" t="s">
        <v>152</v>
      </c>
      <c r="E16" s="16">
        <v>50815</v>
      </c>
      <c r="G16" s="3">
        <v>1189734</v>
      </c>
      <c r="H16" s="3"/>
      <c r="I16" s="3">
        <v>3018797</v>
      </c>
      <c r="J16" s="3"/>
      <c r="K16" s="3">
        <v>105780</v>
      </c>
      <c r="L16" s="3"/>
      <c r="M16" s="3">
        <f>SUM(G16:L16)</f>
        <v>4314311</v>
      </c>
      <c r="N16" s="3"/>
      <c r="O16" s="3">
        <v>4002217</v>
      </c>
      <c r="P16" s="1"/>
      <c r="Q16" s="3">
        <v>7011114</v>
      </c>
      <c r="R16" s="3"/>
      <c r="S16" s="3">
        <v>87852</v>
      </c>
      <c r="T16" s="3"/>
      <c r="U16" s="3">
        <v>0</v>
      </c>
      <c r="V16" s="3"/>
      <c r="W16" s="3">
        <v>0</v>
      </c>
      <c r="X16" s="3"/>
      <c r="Y16" s="3">
        <v>72492</v>
      </c>
      <c r="Z16" s="27"/>
      <c r="AA16" s="3">
        <v>0</v>
      </c>
      <c r="AB16" s="3"/>
      <c r="AC16" s="3">
        <f t="shared" si="0"/>
        <v>11173675</v>
      </c>
      <c r="AD16" s="3"/>
      <c r="AE16" s="3">
        <v>0</v>
      </c>
      <c r="AF16" s="3"/>
      <c r="AG16" s="3">
        <f t="shared" si="1"/>
        <v>15487986</v>
      </c>
    </row>
    <row r="17" spans="1:33">
      <c r="A17" s="3" t="s">
        <v>360</v>
      </c>
      <c r="B17" s="16"/>
      <c r="C17" s="16" t="s">
        <v>154</v>
      </c>
      <c r="E17" s="16">
        <v>51169</v>
      </c>
      <c r="G17" s="3">
        <v>2040368</v>
      </c>
      <c r="H17" s="3"/>
      <c r="I17" s="3">
        <v>599338</v>
      </c>
      <c r="J17" s="3"/>
      <c r="K17" s="3">
        <v>0</v>
      </c>
      <c r="L17" s="3"/>
      <c r="M17" s="3">
        <f t="shared" ref="M17:M87" si="2">SUM(G17:L17)</f>
        <v>2639706</v>
      </c>
      <c r="N17" s="3"/>
      <c r="O17" s="3">
        <v>6297174</v>
      </c>
      <c r="P17" s="1"/>
      <c r="Q17" s="3">
        <v>3366378</v>
      </c>
      <c r="R17" s="3"/>
      <c r="S17" s="3">
        <v>47532</v>
      </c>
      <c r="T17" s="3"/>
      <c r="U17" s="3">
        <v>0</v>
      </c>
      <c r="V17" s="3"/>
      <c r="W17" s="3">
        <v>0</v>
      </c>
      <c r="X17" s="3"/>
      <c r="Y17" s="3">
        <v>38651</v>
      </c>
      <c r="Z17" s="27"/>
      <c r="AA17" s="3">
        <v>0</v>
      </c>
      <c r="AB17" s="3"/>
      <c r="AC17" s="3">
        <f t="shared" si="0"/>
        <v>9749735</v>
      </c>
      <c r="AD17" s="3"/>
      <c r="AE17" s="3">
        <v>0</v>
      </c>
      <c r="AF17" s="3"/>
      <c r="AG17" s="3">
        <f t="shared" si="1"/>
        <v>12389441</v>
      </c>
    </row>
    <row r="18" spans="1:33">
      <c r="A18" s="3" t="s">
        <v>361</v>
      </c>
      <c r="B18" s="16"/>
      <c r="C18" s="16" t="s">
        <v>157</v>
      </c>
      <c r="E18" s="16">
        <v>50856</v>
      </c>
      <c r="G18" s="3">
        <v>289750</v>
      </c>
      <c r="H18" s="3"/>
      <c r="I18" s="3">
        <v>989447</v>
      </c>
      <c r="J18" s="3"/>
      <c r="K18" s="3">
        <v>0</v>
      </c>
      <c r="L18" s="3"/>
      <c r="M18" s="3">
        <f t="shared" si="2"/>
        <v>1279197</v>
      </c>
      <c r="N18" s="3"/>
      <c r="O18" s="3">
        <v>1444164</v>
      </c>
      <c r="P18" s="1"/>
      <c r="Q18" s="3">
        <v>4065856</v>
      </c>
      <c r="R18" s="3"/>
      <c r="S18" s="3">
        <v>6506</v>
      </c>
      <c r="T18" s="3"/>
      <c r="U18" s="3">
        <v>0</v>
      </c>
      <c r="V18" s="3"/>
      <c r="W18" s="3">
        <v>0</v>
      </c>
      <c r="X18" s="3"/>
      <c r="Y18" s="3">
        <v>32153</v>
      </c>
      <c r="Z18" s="27"/>
      <c r="AA18" s="3">
        <v>0</v>
      </c>
      <c r="AB18" s="3"/>
      <c r="AC18" s="3">
        <f t="shared" si="0"/>
        <v>5548679</v>
      </c>
      <c r="AD18" s="3"/>
      <c r="AE18" s="3">
        <v>0</v>
      </c>
      <c r="AF18" s="3"/>
      <c r="AG18" s="3">
        <f t="shared" si="1"/>
        <v>6827876</v>
      </c>
    </row>
    <row r="19" spans="1:33">
      <c r="A19" s="3" t="s">
        <v>256</v>
      </c>
      <c r="B19" s="16"/>
      <c r="C19" s="16" t="s">
        <v>227</v>
      </c>
      <c r="E19" s="16">
        <v>51656</v>
      </c>
      <c r="G19" s="3">
        <v>2745546</v>
      </c>
      <c r="H19" s="3"/>
      <c r="I19" s="3">
        <v>1745978</v>
      </c>
      <c r="J19" s="3"/>
      <c r="K19" s="3">
        <v>0</v>
      </c>
      <c r="L19" s="3"/>
      <c r="M19" s="3">
        <f t="shared" si="2"/>
        <v>4491524</v>
      </c>
      <c r="N19" s="3"/>
      <c r="O19" s="3">
        <v>4534436</v>
      </c>
      <c r="P19" s="1"/>
      <c r="Q19" s="3">
        <v>7035853</v>
      </c>
      <c r="R19" s="3"/>
      <c r="S19" s="3">
        <v>126884</v>
      </c>
      <c r="T19" s="3"/>
      <c r="U19" s="3">
        <v>0</v>
      </c>
      <c r="V19" s="3"/>
      <c r="W19" s="3">
        <v>0</v>
      </c>
      <c r="X19" s="3"/>
      <c r="Y19" s="3">
        <v>11080</v>
      </c>
      <c r="Z19" s="27"/>
      <c r="AA19" s="3">
        <v>0</v>
      </c>
      <c r="AB19" s="3"/>
      <c r="AC19" s="3">
        <f t="shared" si="0"/>
        <v>11708253</v>
      </c>
      <c r="AD19" s="3"/>
      <c r="AE19" s="3">
        <v>0</v>
      </c>
      <c r="AF19" s="3"/>
      <c r="AG19" s="3">
        <f t="shared" si="1"/>
        <v>16199777</v>
      </c>
    </row>
    <row r="20" spans="1:33">
      <c r="A20" s="3" t="s">
        <v>337</v>
      </c>
      <c r="B20" s="16"/>
      <c r="C20" s="16" t="s">
        <v>155</v>
      </c>
      <c r="E20" s="16">
        <v>50880</v>
      </c>
      <c r="G20" s="3">
        <v>6605830</v>
      </c>
      <c r="H20" s="3"/>
      <c r="I20" s="3">
        <v>1614437</v>
      </c>
      <c r="J20" s="3"/>
      <c r="K20" s="3">
        <v>0</v>
      </c>
      <c r="L20" s="3"/>
      <c r="M20" s="3">
        <f t="shared" si="2"/>
        <v>8220267</v>
      </c>
      <c r="N20" s="3"/>
      <c r="O20" s="3">
        <v>14314994</v>
      </c>
      <c r="P20" s="1"/>
      <c r="Q20" s="3">
        <v>25661580</v>
      </c>
      <c r="R20" s="3"/>
      <c r="S20" s="3">
        <v>209021</v>
      </c>
      <c r="T20" s="3"/>
      <c r="U20" s="3">
        <v>0</v>
      </c>
      <c r="V20" s="3"/>
      <c r="W20" s="3">
        <v>0</v>
      </c>
      <c r="X20" s="3"/>
      <c r="Y20" s="3">
        <v>328701</v>
      </c>
      <c r="Z20" s="27"/>
      <c r="AA20" s="3">
        <v>0</v>
      </c>
      <c r="AB20" s="3"/>
      <c r="AC20" s="3">
        <f t="shared" si="0"/>
        <v>40514296</v>
      </c>
      <c r="AD20" s="3"/>
      <c r="AE20" s="3">
        <v>0</v>
      </c>
      <c r="AF20" s="3"/>
      <c r="AG20" s="3">
        <f t="shared" si="1"/>
        <v>48734563</v>
      </c>
    </row>
    <row r="21" spans="1:33" hidden="1">
      <c r="A21" s="3" t="s">
        <v>340</v>
      </c>
      <c r="B21" s="16"/>
      <c r="C21" s="16" t="s">
        <v>248</v>
      </c>
      <c r="E21" s="16">
        <v>63511</v>
      </c>
      <c r="G21" s="3"/>
      <c r="H21" s="3"/>
      <c r="I21" s="3"/>
      <c r="J21" s="3"/>
      <c r="K21" s="3"/>
      <c r="L21" s="3"/>
      <c r="M21" s="3">
        <f t="shared" si="2"/>
        <v>0</v>
      </c>
      <c r="N21" s="3"/>
      <c r="O21" s="3"/>
      <c r="P21" s="1"/>
      <c r="Q21" s="3"/>
      <c r="R21" s="3"/>
      <c r="S21" s="3"/>
      <c r="T21" s="3"/>
      <c r="U21" s="3"/>
      <c r="V21" s="3"/>
      <c r="W21" s="3"/>
      <c r="X21" s="3"/>
      <c r="Y21" s="3"/>
      <c r="Z21" s="27"/>
      <c r="AA21" s="3"/>
      <c r="AB21" s="3"/>
      <c r="AC21" s="3">
        <f t="shared" si="0"/>
        <v>0</v>
      </c>
      <c r="AD21" s="3"/>
      <c r="AE21" s="3">
        <v>0</v>
      </c>
      <c r="AF21" s="3"/>
      <c r="AG21" s="3">
        <f t="shared" si="1"/>
        <v>0</v>
      </c>
    </row>
    <row r="22" spans="1:33">
      <c r="A22" s="3" t="s">
        <v>338</v>
      </c>
      <c r="B22" s="16"/>
      <c r="C22" s="16" t="s">
        <v>165</v>
      </c>
      <c r="E22" s="16">
        <v>50906</v>
      </c>
      <c r="G22" s="3">
        <v>1102300</v>
      </c>
      <c r="H22" s="3"/>
      <c r="I22" s="3">
        <v>1006280</v>
      </c>
      <c r="J22" s="3"/>
      <c r="K22" s="3">
        <v>0</v>
      </c>
      <c r="L22" s="3"/>
      <c r="M22" s="3">
        <f t="shared" si="2"/>
        <v>2108580</v>
      </c>
      <c r="N22" s="3"/>
      <c r="O22" s="3">
        <v>2033130</v>
      </c>
      <c r="P22" s="1"/>
      <c r="Q22" s="3">
        <v>3745962</v>
      </c>
      <c r="R22" s="3"/>
      <c r="S22" s="3">
        <v>60752</v>
      </c>
      <c r="T22" s="3"/>
      <c r="U22" s="3">
        <v>0</v>
      </c>
      <c r="V22" s="3"/>
      <c r="W22" s="3">
        <v>0</v>
      </c>
      <c r="X22" s="3"/>
      <c r="Y22" s="3">
        <v>22008</v>
      </c>
      <c r="Z22" s="27"/>
      <c r="AA22" s="3">
        <v>0</v>
      </c>
      <c r="AB22" s="3"/>
      <c r="AC22" s="3">
        <f t="shared" ref="AC22:AC43" si="3">SUM(O22:AA22)</f>
        <v>5861852</v>
      </c>
      <c r="AD22" s="3"/>
      <c r="AE22" s="3">
        <v>0</v>
      </c>
      <c r="AF22" s="3"/>
      <c r="AG22" s="3">
        <f t="shared" si="1"/>
        <v>7970432</v>
      </c>
    </row>
    <row r="23" spans="1:33">
      <c r="A23" s="3" t="s">
        <v>291</v>
      </c>
      <c r="B23" s="16"/>
      <c r="C23" s="16" t="s">
        <v>240</v>
      </c>
      <c r="E23" s="16">
        <v>65227</v>
      </c>
      <c r="G23" s="3">
        <v>87816</v>
      </c>
      <c r="H23" s="3"/>
      <c r="I23" s="3">
        <v>323963</v>
      </c>
      <c r="J23" s="3"/>
      <c r="K23" s="3">
        <v>2500</v>
      </c>
      <c r="L23" s="3"/>
      <c r="M23" s="3">
        <f t="shared" si="2"/>
        <v>414279</v>
      </c>
      <c r="N23" s="3"/>
      <c r="O23" s="3">
        <f>1210729+55934</f>
        <v>1266663</v>
      </c>
      <c r="P23" s="1"/>
      <c r="Q23" s="3">
        <v>2249237</v>
      </c>
      <c r="R23" s="3"/>
      <c r="S23" s="3">
        <v>2718</v>
      </c>
      <c r="T23" s="3"/>
      <c r="U23" s="3">
        <v>0</v>
      </c>
      <c r="V23" s="3"/>
      <c r="W23" s="3">
        <v>0</v>
      </c>
      <c r="X23" s="3"/>
      <c r="Y23" s="3">
        <v>23901</v>
      </c>
      <c r="Z23" s="27"/>
      <c r="AA23" s="3">
        <v>0</v>
      </c>
      <c r="AB23" s="3"/>
      <c r="AC23" s="3">
        <f t="shared" si="3"/>
        <v>3542519</v>
      </c>
      <c r="AD23" s="3"/>
      <c r="AE23" s="3">
        <v>0</v>
      </c>
      <c r="AF23" s="3"/>
      <c r="AG23" s="3">
        <f t="shared" si="1"/>
        <v>3956798</v>
      </c>
    </row>
    <row r="24" spans="1:33">
      <c r="A24" s="3" t="s">
        <v>342</v>
      </c>
      <c r="B24" s="16"/>
      <c r="C24" s="16" t="s">
        <v>187</v>
      </c>
      <c r="E24" s="16">
        <v>51201</v>
      </c>
      <c r="G24" s="3">
        <v>2776851</v>
      </c>
      <c r="H24" s="3"/>
      <c r="I24" s="3">
        <v>3052789</v>
      </c>
      <c r="J24" s="3"/>
      <c r="K24" s="3">
        <v>44255</v>
      </c>
      <c r="L24" s="3"/>
      <c r="M24" s="3">
        <f t="shared" si="2"/>
        <v>5873895</v>
      </c>
      <c r="N24" s="3"/>
      <c r="O24" s="3">
        <v>8680222</v>
      </c>
      <c r="P24" s="1"/>
      <c r="Q24" s="3">
        <v>4224918</v>
      </c>
      <c r="R24" s="3"/>
      <c r="S24" s="3">
        <v>18197</v>
      </c>
      <c r="T24" s="3"/>
      <c r="U24" s="3">
        <v>0</v>
      </c>
      <c r="V24" s="3"/>
      <c r="W24" s="3">
        <v>0</v>
      </c>
      <c r="X24" s="3"/>
      <c r="Y24" s="3">
        <v>141695</v>
      </c>
      <c r="Z24" s="27"/>
      <c r="AA24" s="3">
        <v>0</v>
      </c>
      <c r="AB24" s="3"/>
      <c r="AC24" s="3">
        <f t="shared" si="3"/>
        <v>13065032</v>
      </c>
      <c r="AD24" s="3"/>
      <c r="AE24" s="3">
        <v>0</v>
      </c>
      <c r="AF24" s="3"/>
      <c r="AG24" s="3">
        <f t="shared" si="1"/>
        <v>18938927</v>
      </c>
    </row>
    <row r="25" spans="1:33">
      <c r="A25" s="3" t="s">
        <v>288</v>
      </c>
      <c r="B25" s="16"/>
      <c r="C25" s="16" t="s">
        <v>167</v>
      </c>
      <c r="E25" s="16">
        <v>50922</v>
      </c>
      <c r="G25" s="3">
        <v>1820388</v>
      </c>
      <c r="H25" s="3"/>
      <c r="I25" s="3">
        <v>617938</v>
      </c>
      <c r="J25" s="3"/>
      <c r="K25" s="3">
        <v>0</v>
      </c>
      <c r="L25" s="3"/>
      <c r="M25" s="3">
        <f t="shared" si="2"/>
        <v>2438326</v>
      </c>
      <c r="N25" s="3"/>
      <c r="O25" s="3">
        <v>11136061</v>
      </c>
      <c r="P25" s="1"/>
      <c r="Q25" s="3">
        <v>4234010</v>
      </c>
      <c r="R25" s="3"/>
      <c r="S25" s="3">
        <v>64447</v>
      </c>
      <c r="T25" s="3"/>
      <c r="U25" s="3">
        <v>0</v>
      </c>
      <c r="V25" s="3"/>
      <c r="W25" s="3">
        <v>0</v>
      </c>
      <c r="X25" s="3"/>
      <c r="Y25" s="3">
        <v>24320</v>
      </c>
      <c r="Z25" s="27"/>
      <c r="AA25" s="3">
        <v>0</v>
      </c>
      <c r="AB25" s="3"/>
      <c r="AC25" s="3">
        <f t="shared" si="3"/>
        <v>15458838</v>
      </c>
      <c r="AD25" s="3"/>
      <c r="AE25" s="3">
        <v>0</v>
      </c>
      <c r="AF25" s="3"/>
      <c r="AG25" s="3">
        <f t="shared" si="1"/>
        <v>17897164</v>
      </c>
    </row>
    <row r="26" spans="1:33">
      <c r="A26" s="3" t="s">
        <v>287</v>
      </c>
      <c r="B26" s="16"/>
      <c r="C26" s="16" t="s">
        <v>171</v>
      </c>
      <c r="E26" s="16">
        <v>50989</v>
      </c>
      <c r="G26" s="3">
        <v>2385080</v>
      </c>
      <c r="H26" s="3"/>
      <c r="I26" s="3">
        <v>1523191</v>
      </c>
      <c r="J26" s="3"/>
      <c r="K26" s="3">
        <v>0</v>
      </c>
      <c r="L26" s="3"/>
      <c r="M26" s="3">
        <f t="shared" si="2"/>
        <v>3908271</v>
      </c>
      <c r="N26" s="3"/>
      <c r="O26" s="3">
        <v>10151980</v>
      </c>
      <c r="P26" s="1"/>
      <c r="Q26" s="3">
        <v>4333715</v>
      </c>
      <c r="R26" s="3"/>
      <c r="S26" s="3">
        <v>360419</v>
      </c>
      <c r="T26" s="3"/>
      <c r="U26" s="3">
        <v>6020</v>
      </c>
      <c r="V26" s="3"/>
      <c r="W26" s="3">
        <v>0</v>
      </c>
      <c r="X26" s="3"/>
      <c r="Y26" s="3">
        <v>48759</v>
      </c>
      <c r="Z26" s="27"/>
      <c r="AA26" s="3">
        <v>0</v>
      </c>
      <c r="AB26" s="3"/>
      <c r="AC26" s="3">
        <f t="shared" si="3"/>
        <v>14900893</v>
      </c>
      <c r="AD26" s="3"/>
      <c r="AE26" s="3">
        <v>528732</v>
      </c>
      <c r="AF26" s="3"/>
      <c r="AG26" s="3">
        <f>+AC26+M26+AE26</f>
        <v>19337896</v>
      </c>
    </row>
    <row r="27" spans="1:33">
      <c r="A27" s="3" t="s">
        <v>289</v>
      </c>
      <c r="B27" s="16"/>
      <c r="C27" s="16" t="s">
        <v>175</v>
      </c>
      <c r="E27" s="16">
        <v>51003</v>
      </c>
      <c r="G27" s="3">
        <v>3887156</v>
      </c>
      <c r="H27" s="3"/>
      <c r="I27" s="3">
        <v>2007475</v>
      </c>
      <c r="J27" s="3"/>
      <c r="K27" s="3">
        <v>0</v>
      </c>
      <c r="L27" s="3"/>
      <c r="M27" s="3">
        <f t="shared" si="2"/>
        <v>5894631</v>
      </c>
      <c r="N27" s="3"/>
      <c r="O27" s="3">
        <v>13217633</v>
      </c>
      <c r="P27" s="1"/>
      <c r="Q27" s="3">
        <v>6347189</v>
      </c>
      <c r="R27" s="3"/>
      <c r="S27" s="3">
        <v>186186</v>
      </c>
      <c r="T27" s="3"/>
      <c r="U27" s="3">
        <v>0</v>
      </c>
      <c r="V27" s="3"/>
      <c r="W27" s="3">
        <v>17173</v>
      </c>
      <c r="X27" s="3"/>
      <c r="Y27" s="3">
        <f>128433+12329</f>
        <v>140762</v>
      </c>
      <c r="Z27" s="27"/>
      <c r="AA27" s="3">
        <v>0</v>
      </c>
      <c r="AB27" s="3"/>
      <c r="AC27" s="3">
        <f t="shared" si="3"/>
        <v>19908943</v>
      </c>
      <c r="AD27" s="3"/>
      <c r="AE27" s="3">
        <v>0</v>
      </c>
      <c r="AF27" s="3"/>
      <c r="AG27" s="3">
        <f t="shared" si="1"/>
        <v>25803574</v>
      </c>
    </row>
    <row r="28" spans="1:33">
      <c r="A28" s="3" t="s">
        <v>290</v>
      </c>
      <c r="B28" s="16"/>
      <c r="C28" s="16" t="s">
        <v>172</v>
      </c>
      <c r="E28" s="16">
        <v>51029</v>
      </c>
      <c r="G28" s="3">
        <v>2979265</v>
      </c>
      <c r="H28" s="3"/>
      <c r="I28" s="3">
        <v>3886477</v>
      </c>
      <c r="J28" s="3"/>
      <c r="K28" s="3">
        <v>0</v>
      </c>
      <c r="L28" s="3"/>
      <c r="M28" s="3">
        <f t="shared" si="2"/>
        <v>6865742</v>
      </c>
      <c r="N28" s="3"/>
      <c r="O28" s="3">
        <v>6019964</v>
      </c>
      <c r="P28" s="1"/>
      <c r="Q28" s="3">
        <v>5841758</v>
      </c>
      <c r="R28" s="3"/>
      <c r="S28" s="3">
        <v>30145</v>
      </c>
      <c r="T28" s="3"/>
      <c r="U28" s="3">
        <v>0</v>
      </c>
      <c r="V28" s="3"/>
      <c r="W28" s="3">
        <v>0</v>
      </c>
      <c r="X28" s="3"/>
      <c r="Y28" s="3">
        <v>173978</v>
      </c>
      <c r="Z28" s="27"/>
      <c r="AA28" s="3">
        <v>0</v>
      </c>
      <c r="AB28" s="3"/>
      <c r="AC28" s="3">
        <f t="shared" si="3"/>
        <v>12065845</v>
      </c>
      <c r="AD28" s="3"/>
      <c r="AE28" s="3">
        <v>0</v>
      </c>
      <c r="AF28" s="3"/>
      <c r="AG28" s="3">
        <f t="shared" si="1"/>
        <v>18931587</v>
      </c>
    </row>
    <row r="29" spans="1:33">
      <c r="A29" s="3" t="s">
        <v>292</v>
      </c>
      <c r="B29" s="16"/>
      <c r="C29" s="16" t="s">
        <v>242</v>
      </c>
      <c r="E29" s="16">
        <v>50963</v>
      </c>
      <c r="G29" s="3">
        <v>1341059</v>
      </c>
      <c r="H29" s="3"/>
      <c r="I29" s="3">
        <v>3154928</v>
      </c>
      <c r="J29" s="3"/>
      <c r="K29" s="3">
        <v>0</v>
      </c>
      <c r="L29" s="3"/>
      <c r="M29" s="3">
        <f t="shared" si="2"/>
        <v>4495987</v>
      </c>
      <c r="N29" s="3"/>
      <c r="O29" s="3">
        <f>5117728+278560</f>
        <v>5396288</v>
      </c>
      <c r="P29" s="1"/>
      <c r="Q29" s="3">
        <v>7089655</v>
      </c>
      <c r="R29" s="3"/>
      <c r="S29" s="3">
        <v>152612</v>
      </c>
      <c r="T29" s="3"/>
      <c r="U29" s="3">
        <v>0</v>
      </c>
      <c r="V29" s="3"/>
      <c r="W29" s="3">
        <v>138771</v>
      </c>
      <c r="X29" s="3"/>
      <c r="Y29" s="3">
        <f>10302+4595</f>
        <v>14897</v>
      </c>
      <c r="Z29" s="27"/>
      <c r="AA29" s="3">
        <v>0</v>
      </c>
      <c r="AB29" s="3"/>
      <c r="AC29" s="3">
        <f t="shared" si="3"/>
        <v>12792223</v>
      </c>
      <c r="AD29" s="3"/>
      <c r="AE29" s="3">
        <v>0</v>
      </c>
      <c r="AF29" s="3"/>
      <c r="AG29" s="3">
        <f t="shared" si="1"/>
        <v>17288210</v>
      </c>
    </row>
    <row r="30" spans="1:33">
      <c r="A30" s="3" t="s">
        <v>241</v>
      </c>
      <c r="B30" s="16"/>
      <c r="C30" s="16" t="s">
        <v>178</v>
      </c>
      <c r="E30" s="16">
        <v>62067</v>
      </c>
      <c r="G30" s="3">
        <v>2108960</v>
      </c>
      <c r="H30" s="3"/>
      <c r="I30" s="3">
        <v>4352127</v>
      </c>
      <c r="J30" s="3"/>
      <c r="K30" s="3">
        <v>21188</v>
      </c>
      <c r="L30" s="3"/>
      <c r="M30" s="3">
        <f t="shared" si="2"/>
        <v>6482275</v>
      </c>
      <c r="N30" s="3"/>
      <c r="O30" s="3">
        <v>2292977</v>
      </c>
      <c r="P30" s="1"/>
      <c r="Q30" s="3">
        <v>3135999</v>
      </c>
      <c r="R30" s="3"/>
      <c r="S30" s="3">
        <v>190595</v>
      </c>
      <c r="T30" s="3"/>
      <c r="U30" s="3">
        <v>0</v>
      </c>
      <c r="V30" s="3"/>
      <c r="W30" s="3">
        <v>0</v>
      </c>
      <c r="X30" s="3"/>
      <c r="Y30" s="3">
        <v>166554</v>
      </c>
      <c r="Z30" s="27"/>
      <c r="AA30" s="3">
        <v>0</v>
      </c>
      <c r="AB30" s="3"/>
      <c r="AC30" s="3">
        <f t="shared" si="3"/>
        <v>5786125</v>
      </c>
      <c r="AD30" s="3"/>
      <c r="AE30" s="3">
        <v>0</v>
      </c>
      <c r="AF30" s="3"/>
      <c r="AG30" s="3">
        <f t="shared" si="1"/>
        <v>12268400</v>
      </c>
    </row>
    <row r="31" spans="1:33" s="43" customFormat="1">
      <c r="A31" s="3" t="s">
        <v>374</v>
      </c>
      <c r="B31" s="42"/>
      <c r="C31" s="42" t="s">
        <v>181</v>
      </c>
      <c r="E31" s="42">
        <v>51060</v>
      </c>
      <c r="G31" s="1">
        <v>5964995</v>
      </c>
      <c r="H31" s="1"/>
      <c r="I31" s="1">
        <v>5024290</v>
      </c>
      <c r="J31" s="1"/>
      <c r="K31" s="1">
        <v>0</v>
      </c>
      <c r="L31" s="1"/>
      <c r="M31" s="1">
        <f t="shared" si="2"/>
        <v>10989285</v>
      </c>
      <c r="N31" s="1"/>
      <c r="O31" s="1">
        <v>36903406</v>
      </c>
      <c r="P31" s="1"/>
      <c r="Q31" s="1">
        <v>23228114</v>
      </c>
      <c r="R31" s="1"/>
      <c r="S31" s="1">
        <v>0</v>
      </c>
      <c r="T31" s="1"/>
      <c r="U31" s="1">
        <v>0</v>
      </c>
      <c r="V31" s="1"/>
      <c r="W31" s="1">
        <v>0</v>
      </c>
      <c r="X31" s="1"/>
      <c r="Y31" s="1">
        <v>3531191</v>
      </c>
      <c r="Z31" s="65"/>
      <c r="AA31" s="1">
        <v>0</v>
      </c>
      <c r="AB31" s="1"/>
      <c r="AC31" s="1">
        <f t="shared" si="3"/>
        <v>63662711</v>
      </c>
      <c r="AD31" s="1"/>
      <c r="AE31" s="1">
        <v>0</v>
      </c>
      <c r="AF31" s="1"/>
      <c r="AG31" s="1">
        <f t="shared" si="1"/>
        <v>74651996</v>
      </c>
    </row>
    <row r="32" spans="1:33">
      <c r="A32" s="3" t="s">
        <v>375</v>
      </c>
      <c r="B32" s="16"/>
      <c r="C32" s="16" t="s">
        <v>180</v>
      </c>
      <c r="E32" s="16">
        <v>51045</v>
      </c>
      <c r="G32" s="3">
        <v>1456839</v>
      </c>
      <c r="H32" s="3"/>
      <c r="I32" s="3">
        <v>2320559</v>
      </c>
      <c r="J32" s="3"/>
      <c r="K32" s="3">
        <v>371748</v>
      </c>
      <c r="L32" s="3"/>
      <c r="M32" s="3">
        <f t="shared" si="2"/>
        <v>4149146</v>
      </c>
      <c r="N32" s="3"/>
      <c r="O32" s="3">
        <v>9051930</v>
      </c>
      <c r="P32" s="1"/>
      <c r="Q32" s="3">
        <v>4016545</v>
      </c>
      <c r="R32" s="3"/>
      <c r="S32" s="3">
        <v>0</v>
      </c>
      <c r="T32" s="3"/>
      <c r="U32" s="3">
        <v>0</v>
      </c>
      <c r="V32" s="3"/>
      <c r="W32" s="3">
        <v>0</v>
      </c>
      <c r="X32" s="3"/>
      <c r="Y32" s="3">
        <v>161677</v>
      </c>
      <c r="Z32" s="27"/>
      <c r="AA32" s="3">
        <v>0</v>
      </c>
      <c r="AB32" s="3"/>
      <c r="AC32" s="3">
        <f t="shared" si="3"/>
        <v>13230152</v>
      </c>
      <c r="AD32" s="3"/>
      <c r="AE32" s="3">
        <v>0</v>
      </c>
      <c r="AF32" s="3"/>
      <c r="AG32" s="3">
        <f t="shared" si="1"/>
        <v>17379298</v>
      </c>
    </row>
    <row r="33" spans="1:33">
      <c r="A33" s="3" t="s">
        <v>243</v>
      </c>
      <c r="B33" s="16"/>
      <c r="C33" s="16" t="s">
        <v>183</v>
      </c>
      <c r="E33" s="16">
        <v>51128</v>
      </c>
      <c r="G33" s="3">
        <v>332768</v>
      </c>
      <c r="H33" s="3"/>
      <c r="I33" s="3">
        <v>641584</v>
      </c>
      <c r="J33" s="3"/>
      <c r="K33" s="3">
        <v>0</v>
      </c>
      <c r="L33" s="3"/>
      <c r="M33" s="3">
        <f t="shared" si="2"/>
        <v>974352</v>
      </c>
      <c r="N33" s="3"/>
      <c r="O33" s="3">
        <v>1646305</v>
      </c>
      <c r="P33" s="1"/>
      <c r="Q33" s="3">
        <v>2850800</v>
      </c>
      <c r="R33" s="3"/>
      <c r="S33" s="3">
        <v>22470</v>
      </c>
      <c r="T33" s="3"/>
      <c r="U33" s="3">
        <v>0</v>
      </c>
      <c r="V33" s="3"/>
      <c r="W33" s="3">
        <v>0</v>
      </c>
      <c r="X33" s="3"/>
      <c r="Y33" s="3">
        <v>51428</v>
      </c>
      <c r="Z33" s="27"/>
      <c r="AA33" s="3">
        <v>0</v>
      </c>
      <c r="AB33" s="3"/>
      <c r="AC33" s="3">
        <f t="shared" si="3"/>
        <v>4571003</v>
      </c>
      <c r="AD33" s="3"/>
      <c r="AE33" s="3">
        <v>0</v>
      </c>
      <c r="AF33" s="3"/>
      <c r="AG33" s="3">
        <f t="shared" si="1"/>
        <v>5545355</v>
      </c>
    </row>
    <row r="34" spans="1:33">
      <c r="A34" s="3" t="s">
        <v>293</v>
      </c>
      <c r="B34" s="16"/>
      <c r="C34" s="16" t="s">
        <v>184</v>
      </c>
      <c r="E34" s="16">
        <v>51144</v>
      </c>
      <c r="G34" s="3">
        <v>1875420</v>
      </c>
      <c r="H34" s="3"/>
      <c r="I34" s="3">
        <v>635327</v>
      </c>
      <c r="J34" s="3"/>
      <c r="K34" s="3">
        <v>0</v>
      </c>
      <c r="L34" s="3"/>
      <c r="M34" s="3">
        <f t="shared" si="2"/>
        <v>2510747</v>
      </c>
      <c r="N34" s="3"/>
      <c r="O34" s="3">
        <v>3008328</v>
      </c>
      <c r="P34" s="1"/>
      <c r="Q34" s="3">
        <v>5892652</v>
      </c>
      <c r="R34" s="3"/>
      <c r="S34" s="3">
        <v>191349</v>
      </c>
      <c r="T34" s="3"/>
      <c r="U34" s="3">
        <v>77469</v>
      </c>
      <c r="V34" s="3"/>
      <c r="W34" s="3">
        <v>0</v>
      </c>
      <c r="X34" s="3"/>
      <c r="Y34" s="3">
        <v>74767</v>
      </c>
      <c r="Z34" s="27"/>
      <c r="AA34" s="3">
        <v>0</v>
      </c>
      <c r="AB34" s="3"/>
      <c r="AC34" s="3">
        <f t="shared" si="3"/>
        <v>9244565</v>
      </c>
      <c r="AD34" s="3"/>
      <c r="AE34" s="3">
        <v>0</v>
      </c>
      <c r="AF34" s="3"/>
      <c r="AG34" s="3">
        <f t="shared" si="1"/>
        <v>11755312</v>
      </c>
    </row>
    <row r="35" spans="1:33">
      <c r="A35" s="3" t="s">
        <v>244</v>
      </c>
      <c r="B35" s="16"/>
      <c r="C35" s="16" t="s">
        <v>185</v>
      </c>
      <c r="E35" s="16">
        <v>51185</v>
      </c>
      <c r="G35" s="3">
        <v>2220839</v>
      </c>
      <c r="H35" s="3"/>
      <c r="I35" s="3">
        <v>4759554</v>
      </c>
      <c r="J35" s="3"/>
      <c r="K35" s="3">
        <v>0</v>
      </c>
      <c r="L35" s="3"/>
      <c r="M35" s="3">
        <f t="shared" si="2"/>
        <v>6980393</v>
      </c>
      <c r="N35" s="3"/>
      <c r="O35" s="3">
        <v>1524453</v>
      </c>
      <c r="P35" s="1"/>
      <c r="Q35" s="3">
        <v>3109261</v>
      </c>
      <c r="R35" s="3"/>
      <c r="S35" s="3">
        <v>339712</v>
      </c>
      <c r="T35" s="3"/>
      <c r="U35" s="3">
        <v>0</v>
      </c>
      <c r="V35" s="3"/>
      <c r="W35" s="3">
        <v>0</v>
      </c>
      <c r="X35" s="3"/>
      <c r="Y35" s="3">
        <v>196747</v>
      </c>
      <c r="Z35" s="27"/>
      <c r="AA35" s="3">
        <v>0</v>
      </c>
      <c r="AB35" s="3"/>
      <c r="AC35" s="3">
        <f t="shared" si="3"/>
        <v>5170173</v>
      </c>
      <c r="AD35" s="3"/>
      <c r="AE35" s="3">
        <v>0</v>
      </c>
      <c r="AF35" s="3"/>
      <c r="AG35" s="3">
        <f t="shared" si="1"/>
        <v>12150566</v>
      </c>
    </row>
    <row r="36" spans="1:33" hidden="1">
      <c r="A36" s="3" t="s">
        <v>319</v>
      </c>
      <c r="B36" s="16"/>
      <c r="C36" s="16" t="s">
        <v>187</v>
      </c>
      <c r="E36" s="16">
        <v>47977</v>
      </c>
      <c r="G36" s="3"/>
      <c r="H36" s="3"/>
      <c r="I36" s="3"/>
      <c r="J36" s="3"/>
      <c r="K36" s="3"/>
      <c r="L36" s="3"/>
      <c r="M36" s="3">
        <f t="shared" si="2"/>
        <v>0</v>
      </c>
      <c r="N36" s="3"/>
      <c r="O36" s="3"/>
      <c r="P36" s="1"/>
      <c r="Q36" s="3"/>
      <c r="R36" s="3"/>
      <c r="S36" s="3"/>
      <c r="T36" s="3"/>
      <c r="U36" s="3"/>
      <c r="V36" s="3"/>
      <c r="W36" s="3">
        <v>0</v>
      </c>
      <c r="X36" s="3"/>
      <c r="Y36" s="3"/>
      <c r="Z36" s="27"/>
      <c r="AA36" s="3"/>
      <c r="AB36" s="3"/>
      <c r="AC36" s="3">
        <f t="shared" si="3"/>
        <v>0</v>
      </c>
      <c r="AD36" s="3"/>
      <c r="AE36" s="3">
        <v>0</v>
      </c>
      <c r="AF36" s="3"/>
      <c r="AG36" s="3">
        <f t="shared" si="1"/>
        <v>0</v>
      </c>
    </row>
    <row r="37" spans="1:33">
      <c r="A37" s="3" t="s">
        <v>246</v>
      </c>
      <c r="B37" s="16"/>
      <c r="C37" s="16" t="s">
        <v>150</v>
      </c>
      <c r="E37" s="16">
        <v>51227</v>
      </c>
      <c r="G37" s="3">
        <v>2020288</v>
      </c>
      <c r="H37" s="3"/>
      <c r="I37" s="3">
        <v>1911370</v>
      </c>
      <c r="J37" s="3"/>
      <c r="K37" s="3">
        <v>0</v>
      </c>
      <c r="L37" s="3"/>
      <c r="M37" s="3">
        <f t="shared" si="2"/>
        <v>3931658</v>
      </c>
      <c r="N37" s="3"/>
      <c r="O37" s="3">
        <v>10382473</v>
      </c>
      <c r="P37" s="1"/>
      <c r="Q37" s="3">
        <v>9253543</v>
      </c>
      <c r="R37" s="3"/>
      <c r="S37" s="3">
        <v>27830</v>
      </c>
      <c r="T37" s="3"/>
      <c r="U37" s="3">
        <v>0</v>
      </c>
      <c r="V37" s="3"/>
      <c r="W37" s="3">
        <v>0</v>
      </c>
      <c r="X37" s="3"/>
      <c r="Y37" s="3">
        <v>470360</v>
      </c>
      <c r="Z37" s="27"/>
      <c r="AA37" s="3">
        <v>0</v>
      </c>
      <c r="AB37" s="3"/>
      <c r="AC37" s="3">
        <f t="shared" si="3"/>
        <v>20134206</v>
      </c>
      <c r="AD37" s="3"/>
      <c r="AE37" s="3">
        <v>0</v>
      </c>
      <c r="AF37" s="3"/>
      <c r="AG37" s="3">
        <f t="shared" si="1"/>
        <v>24065864</v>
      </c>
    </row>
    <row r="38" spans="1:33">
      <c r="A38" s="3" t="s">
        <v>249</v>
      </c>
      <c r="B38" s="16"/>
      <c r="C38" s="16" t="s">
        <v>191</v>
      </c>
      <c r="E38" s="16">
        <v>51243</v>
      </c>
      <c r="G38" s="3">
        <v>1011239</v>
      </c>
      <c r="H38" s="3"/>
      <c r="I38" s="3">
        <v>762335</v>
      </c>
      <c r="J38" s="3"/>
      <c r="K38" s="3">
        <v>0</v>
      </c>
      <c r="L38" s="3"/>
      <c r="M38" s="3">
        <f t="shared" si="2"/>
        <v>1773574</v>
      </c>
      <c r="N38" s="3"/>
      <c r="O38" s="3">
        <v>6277736</v>
      </c>
      <c r="P38" s="1"/>
      <c r="Q38" s="3">
        <v>4331541</v>
      </c>
      <c r="R38" s="3"/>
      <c r="S38" s="3">
        <v>416191</v>
      </c>
      <c r="T38" s="3"/>
      <c r="U38" s="3">
        <v>0</v>
      </c>
      <c r="V38" s="3"/>
      <c r="W38" s="3">
        <v>0</v>
      </c>
      <c r="X38" s="3"/>
      <c r="Y38" s="3">
        <v>73357</v>
      </c>
      <c r="Z38" s="27"/>
      <c r="AA38" s="3">
        <v>0</v>
      </c>
      <c r="AB38" s="3"/>
      <c r="AC38" s="3">
        <f t="shared" si="3"/>
        <v>11098825</v>
      </c>
      <c r="AD38" s="3"/>
      <c r="AE38" s="3">
        <v>2156219</v>
      </c>
      <c r="AF38" s="3"/>
      <c r="AG38" s="3">
        <f>+AC38+M38+AE38</f>
        <v>15028618</v>
      </c>
    </row>
    <row r="39" spans="1:33">
      <c r="A39" s="3" t="s">
        <v>294</v>
      </c>
      <c r="B39" s="16"/>
      <c r="C39" s="16" t="s">
        <v>207</v>
      </c>
      <c r="E39" s="16">
        <v>51391</v>
      </c>
      <c r="G39" s="3">
        <v>847231</v>
      </c>
      <c r="H39" s="3"/>
      <c r="I39" s="3">
        <v>705126</v>
      </c>
      <c r="J39" s="3"/>
      <c r="K39" s="3">
        <v>0</v>
      </c>
      <c r="L39" s="3"/>
      <c r="M39" s="3">
        <f t="shared" si="2"/>
        <v>1552357</v>
      </c>
      <c r="N39" s="3"/>
      <c r="O39" s="3">
        <v>6952340</v>
      </c>
      <c r="P39" s="1"/>
      <c r="Q39" s="3">
        <v>5947724</v>
      </c>
      <c r="R39" s="3"/>
      <c r="S39" s="3">
        <v>491456</v>
      </c>
      <c r="T39" s="3"/>
      <c r="U39" s="3">
        <v>0</v>
      </c>
      <c r="V39" s="3"/>
      <c r="W39" s="3">
        <v>0</v>
      </c>
      <c r="X39" s="3"/>
      <c r="Y39" s="3">
        <v>52722</v>
      </c>
      <c r="Z39" s="27"/>
      <c r="AA39" s="3">
        <v>0</v>
      </c>
      <c r="AB39" s="3"/>
      <c r="AC39" s="3">
        <f t="shared" si="3"/>
        <v>13444242</v>
      </c>
      <c r="AD39" s="3"/>
      <c r="AE39" s="3">
        <v>0</v>
      </c>
      <c r="AF39" s="3"/>
      <c r="AG39" s="3">
        <f t="shared" ref="AG39:AG42" si="4">+AC39+M39</f>
        <v>14996599</v>
      </c>
    </row>
    <row r="40" spans="1:33">
      <c r="A40" s="3" t="s">
        <v>252</v>
      </c>
      <c r="B40" s="16"/>
      <c r="C40" s="16" t="s">
        <v>193</v>
      </c>
      <c r="E40" s="16">
        <v>62109</v>
      </c>
      <c r="G40" s="3">
        <v>185153</v>
      </c>
      <c r="H40" s="3"/>
      <c r="I40" s="3">
        <v>506193</v>
      </c>
      <c r="J40" s="3"/>
      <c r="K40" s="3">
        <v>0</v>
      </c>
      <c r="L40" s="3"/>
      <c r="M40" s="3">
        <f t="shared" si="2"/>
        <v>691346</v>
      </c>
      <c r="N40" s="3"/>
      <c r="O40" s="3">
        <v>7918908</v>
      </c>
      <c r="P40" s="1"/>
      <c r="Q40" s="3">
        <f>8172896+272228</f>
        <v>8445124</v>
      </c>
      <c r="R40" s="3"/>
      <c r="S40" s="3">
        <v>9685</v>
      </c>
      <c r="T40" s="3"/>
      <c r="U40" s="3">
        <v>20029</v>
      </c>
      <c r="V40" s="3"/>
      <c r="W40" s="3">
        <v>0</v>
      </c>
      <c r="X40" s="3"/>
      <c r="Y40" s="3">
        <v>203879</v>
      </c>
      <c r="Z40" s="27"/>
      <c r="AA40" s="3">
        <v>0</v>
      </c>
      <c r="AB40" s="3"/>
      <c r="AC40" s="3">
        <f t="shared" si="3"/>
        <v>16597625</v>
      </c>
      <c r="AD40" s="3"/>
      <c r="AE40" s="3">
        <v>0</v>
      </c>
      <c r="AF40" s="3"/>
      <c r="AG40" s="3">
        <f t="shared" si="4"/>
        <v>17288971</v>
      </c>
    </row>
    <row r="41" spans="1:33">
      <c r="A41" s="3" t="s">
        <v>295</v>
      </c>
      <c r="B41" s="16"/>
      <c r="C41" s="16" t="s">
        <v>199</v>
      </c>
      <c r="E41" s="16">
        <v>51284</v>
      </c>
      <c r="G41" s="3">
        <v>4019240</v>
      </c>
      <c r="H41" s="3"/>
      <c r="I41" s="3">
        <v>2661532</v>
      </c>
      <c r="J41" s="3"/>
      <c r="K41" s="3">
        <v>0</v>
      </c>
      <c r="L41" s="3"/>
      <c r="M41" s="3">
        <f t="shared" si="2"/>
        <v>6680772</v>
      </c>
      <c r="N41" s="3"/>
      <c r="O41" s="3">
        <v>12336837</v>
      </c>
      <c r="P41" s="1"/>
      <c r="Q41" s="3">
        <v>15771965</v>
      </c>
      <c r="R41" s="3"/>
      <c r="S41" s="3">
        <v>19395</v>
      </c>
      <c r="T41" s="3"/>
      <c r="U41" s="3">
        <v>0</v>
      </c>
      <c r="V41" s="3"/>
      <c r="W41" s="3">
        <v>51696</v>
      </c>
      <c r="X41" s="3"/>
      <c r="Y41" s="3">
        <v>944584</v>
      </c>
      <c r="Z41" s="27"/>
      <c r="AA41" s="3">
        <v>0</v>
      </c>
      <c r="AB41" s="3"/>
      <c r="AC41" s="3">
        <f t="shared" si="3"/>
        <v>29124477</v>
      </c>
      <c r="AD41" s="3"/>
      <c r="AE41" s="3">
        <v>0</v>
      </c>
      <c r="AF41" s="3"/>
      <c r="AG41" s="3">
        <f t="shared" si="4"/>
        <v>35805249</v>
      </c>
    </row>
    <row r="42" spans="1:33">
      <c r="A42" s="3" t="s">
        <v>296</v>
      </c>
      <c r="B42" s="16"/>
      <c r="C42" s="16" t="s">
        <v>201</v>
      </c>
      <c r="E42" s="16">
        <v>51300</v>
      </c>
      <c r="G42" s="3">
        <v>3424798</v>
      </c>
      <c r="H42" s="3"/>
      <c r="I42" s="3">
        <v>3418550</v>
      </c>
      <c r="J42" s="3"/>
      <c r="K42" s="3">
        <v>23559</v>
      </c>
      <c r="L42" s="3"/>
      <c r="M42" s="3">
        <f t="shared" si="2"/>
        <v>6866907</v>
      </c>
      <c r="N42" s="3"/>
      <c r="O42" s="3">
        <f>4580117+333443+1483279+658611</f>
        <v>7055450</v>
      </c>
      <c r="P42" s="1"/>
      <c r="Q42" s="3">
        <v>30269471</v>
      </c>
      <c r="R42" s="3"/>
      <c r="S42" s="3">
        <v>289262</v>
      </c>
      <c r="T42" s="3"/>
      <c r="U42" s="3">
        <v>36275</v>
      </c>
      <c r="V42" s="3"/>
      <c r="W42" s="3">
        <v>0</v>
      </c>
      <c r="X42" s="3"/>
      <c r="Y42" s="3">
        <v>76869</v>
      </c>
      <c r="Z42" s="27"/>
      <c r="AA42" s="3">
        <v>0</v>
      </c>
      <c r="AB42" s="3"/>
      <c r="AC42" s="3">
        <f t="shared" si="3"/>
        <v>37727327</v>
      </c>
      <c r="AD42" s="3"/>
      <c r="AE42" s="3">
        <v>0</v>
      </c>
      <c r="AF42" s="3"/>
      <c r="AG42" s="3">
        <f t="shared" si="4"/>
        <v>44594234</v>
      </c>
    </row>
    <row r="43" spans="1:33">
      <c r="A43" s="3" t="s">
        <v>245</v>
      </c>
      <c r="B43" s="16"/>
      <c r="C43" s="16" t="s">
        <v>188</v>
      </c>
      <c r="E43" s="16">
        <v>51334</v>
      </c>
      <c r="G43" s="3">
        <v>2034743</v>
      </c>
      <c r="H43" s="3"/>
      <c r="I43" s="3">
        <v>1238620</v>
      </c>
      <c r="J43" s="3"/>
      <c r="K43" s="3">
        <v>0</v>
      </c>
      <c r="L43" s="3"/>
      <c r="M43" s="3">
        <f t="shared" si="2"/>
        <v>3273363</v>
      </c>
      <c r="N43" s="3"/>
      <c r="O43" s="3">
        <v>5898335</v>
      </c>
      <c r="P43" s="1"/>
      <c r="Q43" s="3">
        <v>5976056</v>
      </c>
      <c r="R43" s="3"/>
      <c r="S43" s="3">
        <v>0</v>
      </c>
      <c r="T43" s="3"/>
      <c r="U43" s="3">
        <v>0</v>
      </c>
      <c r="V43" s="3"/>
      <c r="W43" s="3">
        <v>0</v>
      </c>
      <c r="X43" s="3"/>
      <c r="Y43" s="3">
        <v>302765</v>
      </c>
      <c r="Z43" s="27"/>
      <c r="AA43" s="3">
        <v>0</v>
      </c>
      <c r="AB43" s="3"/>
      <c r="AC43" s="3">
        <f t="shared" si="3"/>
        <v>12177156</v>
      </c>
      <c r="AD43" s="3"/>
      <c r="AE43" s="3">
        <v>0</v>
      </c>
      <c r="AF43" s="3"/>
      <c r="AG43" s="3">
        <f t="shared" si="1"/>
        <v>15450519</v>
      </c>
    </row>
    <row r="44" spans="1:33">
      <c r="A44" s="3" t="s">
        <v>297</v>
      </c>
      <c r="B44" s="16"/>
      <c r="C44" s="16" t="s">
        <v>236</v>
      </c>
      <c r="E44" s="16">
        <v>51359</v>
      </c>
      <c r="G44" s="3">
        <v>1132351</v>
      </c>
      <c r="H44" s="3"/>
      <c r="I44" s="3">
        <v>6790291</v>
      </c>
      <c r="J44" s="3"/>
      <c r="K44" s="3">
        <v>0</v>
      </c>
      <c r="L44" s="3"/>
      <c r="M44" s="3">
        <f t="shared" ref="M44:M64" si="5">SUM(G44:L44)</f>
        <v>7922642</v>
      </c>
      <c r="N44" s="3"/>
      <c r="O44" s="3">
        <f>10425142+4682407</f>
        <v>15107549</v>
      </c>
      <c r="P44" s="1"/>
      <c r="Q44" s="3">
        <v>11556992</v>
      </c>
      <c r="R44" s="3"/>
      <c r="S44" s="3">
        <v>152036</v>
      </c>
      <c r="T44" s="3"/>
      <c r="U44" s="3">
        <v>262509</v>
      </c>
      <c r="V44" s="3"/>
      <c r="W44" s="3">
        <v>0</v>
      </c>
      <c r="X44" s="3"/>
      <c r="Y44" s="3">
        <v>9327</v>
      </c>
      <c r="Z44" s="27"/>
      <c r="AA44" s="3">
        <v>0</v>
      </c>
      <c r="AB44" s="3"/>
      <c r="AC44" s="3">
        <f t="shared" ref="AC44:AC64" si="6">SUM(O44:AA44)</f>
        <v>27088413</v>
      </c>
      <c r="AD44" s="3"/>
      <c r="AE44" s="3">
        <v>0</v>
      </c>
      <c r="AF44" s="3"/>
      <c r="AG44" s="3">
        <f t="shared" ref="AG44" si="7">+AC44+M44+AE44</f>
        <v>35011055</v>
      </c>
    </row>
    <row r="45" spans="1:33">
      <c r="A45" s="3" t="s">
        <v>298</v>
      </c>
      <c r="B45" s="16"/>
      <c r="C45" s="16" t="s">
        <v>214</v>
      </c>
      <c r="E45" s="16">
        <v>51433</v>
      </c>
      <c r="G45" s="3">
        <v>2820896</v>
      </c>
      <c r="H45" s="3"/>
      <c r="I45" s="3">
        <v>2831928</v>
      </c>
      <c r="J45" s="3"/>
      <c r="K45" s="3">
        <v>0</v>
      </c>
      <c r="L45" s="3"/>
      <c r="M45" s="3">
        <f t="shared" si="5"/>
        <v>5652824</v>
      </c>
      <c r="N45" s="3"/>
      <c r="O45" s="3">
        <v>5035164</v>
      </c>
      <c r="P45" s="1"/>
      <c r="Q45" s="3">
        <v>10123254</v>
      </c>
      <c r="R45" s="3"/>
      <c r="S45" s="3">
        <v>54450</v>
      </c>
      <c r="T45" s="3"/>
      <c r="U45" s="3">
        <v>566</v>
      </c>
      <c r="V45" s="3"/>
      <c r="W45" s="3">
        <v>0</v>
      </c>
      <c r="X45" s="3"/>
      <c r="Y45" s="3">
        <v>107743</v>
      </c>
      <c r="Z45" s="27"/>
      <c r="AA45" s="3">
        <v>0</v>
      </c>
      <c r="AB45" s="3"/>
      <c r="AC45" s="3">
        <f t="shared" si="6"/>
        <v>15321177</v>
      </c>
      <c r="AD45" s="3"/>
      <c r="AE45" s="3">
        <v>888297</v>
      </c>
      <c r="AF45" s="3"/>
      <c r="AG45" s="3">
        <f>+AC45+M45+AE45</f>
        <v>21862298</v>
      </c>
    </row>
    <row r="46" spans="1:33">
      <c r="A46" s="3" t="s">
        <v>299</v>
      </c>
      <c r="B46" s="16"/>
      <c r="C46" s="16" t="s">
        <v>254</v>
      </c>
      <c r="E46" s="16">
        <v>51375</v>
      </c>
      <c r="G46" s="3">
        <v>597142</v>
      </c>
      <c r="H46" s="3"/>
      <c r="I46" s="3">
        <v>1429791</v>
      </c>
      <c r="J46" s="3"/>
      <c r="K46" s="3">
        <v>12000</v>
      </c>
      <c r="L46" s="3"/>
      <c r="M46" s="3">
        <f t="shared" si="5"/>
        <v>2038933</v>
      </c>
      <c r="N46" s="3"/>
      <c r="O46" s="3">
        <f>857843+172045+99960</f>
        <v>1129848</v>
      </c>
      <c r="P46" s="1"/>
      <c r="Q46" s="3">
        <v>4554255</v>
      </c>
      <c r="R46" s="3"/>
      <c r="S46" s="3">
        <v>16478</v>
      </c>
      <c r="T46" s="3"/>
      <c r="U46" s="3">
        <v>516</v>
      </c>
      <c r="V46" s="3"/>
      <c r="W46" s="3">
        <v>4706</v>
      </c>
      <c r="X46" s="3"/>
      <c r="Y46" s="3">
        <v>198938</v>
      </c>
      <c r="Z46" s="27"/>
      <c r="AA46" s="3">
        <v>0</v>
      </c>
      <c r="AB46" s="3"/>
      <c r="AC46" s="3">
        <f t="shared" si="6"/>
        <v>5904741</v>
      </c>
      <c r="AD46" s="3"/>
      <c r="AE46" s="3">
        <v>0</v>
      </c>
      <c r="AF46" s="3"/>
      <c r="AG46" s="3">
        <f t="shared" ref="AG46:AG64" si="8">+AC46+M46+AE46</f>
        <v>7943674</v>
      </c>
    </row>
    <row r="47" spans="1:33">
      <c r="A47" s="3" t="s">
        <v>300</v>
      </c>
      <c r="B47" s="16"/>
      <c r="C47" s="16" t="s">
        <v>212</v>
      </c>
      <c r="E47" s="16">
        <v>51417</v>
      </c>
      <c r="G47" s="3">
        <v>1060754</v>
      </c>
      <c r="H47" s="3"/>
      <c r="I47" s="3">
        <v>2032506</v>
      </c>
      <c r="J47" s="3"/>
      <c r="K47" s="3">
        <v>0</v>
      </c>
      <c r="L47" s="3"/>
      <c r="M47" s="3">
        <f t="shared" si="5"/>
        <v>3093260</v>
      </c>
      <c r="N47" s="3"/>
      <c r="O47" s="3">
        <v>4193681</v>
      </c>
      <c r="P47" s="1"/>
      <c r="Q47" s="3">
        <f>10465026+2514841</f>
        <v>12979867</v>
      </c>
      <c r="R47" s="3"/>
      <c r="S47" s="3">
        <v>451804</v>
      </c>
      <c r="T47" s="3"/>
      <c r="U47" s="3">
        <v>0</v>
      </c>
      <c r="V47" s="3"/>
      <c r="W47" s="3">
        <v>0</v>
      </c>
      <c r="X47" s="3"/>
      <c r="Y47" s="3">
        <v>106902</v>
      </c>
      <c r="Z47" s="27"/>
      <c r="AA47" s="3">
        <v>0</v>
      </c>
      <c r="AB47" s="3"/>
      <c r="AC47" s="3">
        <f t="shared" si="6"/>
        <v>17732254</v>
      </c>
      <c r="AD47" s="3"/>
      <c r="AE47" s="3">
        <v>0</v>
      </c>
      <c r="AF47" s="3"/>
      <c r="AG47" s="3">
        <f t="shared" si="8"/>
        <v>20825514</v>
      </c>
    </row>
    <row r="48" spans="1:33">
      <c r="A48" s="3" t="s">
        <v>301</v>
      </c>
      <c r="B48" s="16"/>
      <c r="C48" s="16" t="s">
        <v>167</v>
      </c>
      <c r="E48" s="16">
        <v>50948</v>
      </c>
      <c r="G48" s="3">
        <v>2412758</v>
      </c>
      <c r="H48" s="3"/>
      <c r="I48" s="3">
        <v>982303</v>
      </c>
      <c r="J48" s="3"/>
      <c r="K48" s="3">
        <v>0</v>
      </c>
      <c r="L48" s="3"/>
      <c r="M48" s="3">
        <f t="shared" si="5"/>
        <v>3395061</v>
      </c>
      <c r="N48" s="3"/>
      <c r="O48" s="3">
        <v>9448906</v>
      </c>
      <c r="P48" s="1"/>
      <c r="Q48" s="3">
        <v>4473036</v>
      </c>
      <c r="R48" s="3"/>
      <c r="S48" s="3">
        <v>178903</v>
      </c>
      <c r="T48" s="3"/>
      <c r="U48" s="3">
        <v>0</v>
      </c>
      <c r="V48" s="3"/>
      <c r="W48" s="3">
        <v>0</v>
      </c>
      <c r="X48" s="3"/>
      <c r="Y48" s="3">
        <v>128180</v>
      </c>
      <c r="Z48" s="27"/>
      <c r="AA48" s="3">
        <v>0</v>
      </c>
      <c r="AB48" s="3"/>
      <c r="AC48" s="3">
        <f t="shared" si="6"/>
        <v>14229025</v>
      </c>
      <c r="AD48" s="3"/>
      <c r="AE48" s="3">
        <v>0</v>
      </c>
      <c r="AF48" s="3"/>
      <c r="AG48" s="3">
        <f t="shared" si="8"/>
        <v>17624086</v>
      </c>
    </row>
    <row r="49" spans="1:33">
      <c r="A49" s="3" t="s">
        <v>302</v>
      </c>
      <c r="B49" s="16"/>
      <c r="C49" s="16" t="s">
        <v>223</v>
      </c>
      <c r="E49" s="16">
        <v>63495</v>
      </c>
      <c r="G49" s="3">
        <v>1364430</v>
      </c>
      <c r="H49" s="3"/>
      <c r="I49" s="3">
        <v>758423</v>
      </c>
      <c r="J49" s="3"/>
      <c r="K49" s="3">
        <v>0</v>
      </c>
      <c r="L49" s="3"/>
      <c r="M49" s="3">
        <f t="shared" si="5"/>
        <v>2122853</v>
      </c>
      <c r="N49" s="3"/>
      <c r="O49" s="3">
        <v>2937007</v>
      </c>
      <c r="P49" s="1"/>
      <c r="Q49" s="3">
        <v>2873092</v>
      </c>
      <c r="R49" s="3"/>
      <c r="S49" s="3">
        <v>248216</v>
      </c>
      <c r="T49" s="3"/>
      <c r="U49" s="3">
        <v>0</v>
      </c>
      <c r="V49" s="3"/>
      <c r="W49" s="3">
        <v>0</v>
      </c>
      <c r="X49" s="3"/>
      <c r="Y49" s="3">
        <v>78232</v>
      </c>
      <c r="Z49" s="27"/>
      <c r="AA49" s="3">
        <v>0</v>
      </c>
      <c r="AB49" s="3"/>
      <c r="AC49" s="3">
        <f t="shared" si="6"/>
        <v>6136547</v>
      </c>
      <c r="AD49" s="3"/>
      <c r="AE49" s="3">
        <v>0</v>
      </c>
      <c r="AF49" s="3"/>
      <c r="AG49" s="3">
        <f t="shared" si="8"/>
        <v>8259400</v>
      </c>
    </row>
    <row r="50" spans="1:33">
      <c r="A50" s="3" t="s">
        <v>303</v>
      </c>
      <c r="B50" s="16"/>
      <c r="C50" s="16" t="s">
        <v>217</v>
      </c>
      <c r="E50" s="16">
        <v>51490</v>
      </c>
      <c r="G50" s="3">
        <v>2024245</v>
      </c>
      <c r="H50" s="3"/>
      <c r="I50" s="3">
        <v>1377479</v>
      </c>
      <c r="J50" s="3"/>
      <c r="K50" s="3">
        <v>0</v>
      </c>
      <c r="L50" s="3"/>
      <c r="M50" s="3">
        <f t="shared" si="5"/>
        <v>3401724</v>
      </c>
      <c r="N50" s="3"/>
      <c r="O50" s="3">
        <f>1775317+533118</f>
        <v>2308435</v>
      </c>
      <c r="P50" s="1"/>
      <c r="Q50" s="3">
        <v>4317807</v>
      </c>
      <c r="R50" s="3"/>
      <c r="S50" s="3">
        <v>83447</v>
      </c>
      <c r="T50" s="3"/>
      <c r="U50" s="3">
        <v>0</v>
      </c>
      <c r="V50" s="3"/>
      <c r="W50" s="3">
        <v>0</v>
      </c>
      <c r="X50" s="3"/>
      <c r="Y50" s="3">
        <f>4198+82928</f>
        <v>87126</v>
      </c>
      <c r="Z50" s="27"/>
      <c r="AA50" s="3">
        <v>0</v>
      </c>
      <c r="AB50" s="3"/>
      <c r="AC50" s="3">
        <f t="shared" si="6"/>
        <v>6796815</v>
      </c>
      <c r="AD50" s="3"/>
      <c r="AE50" s="3">
        <v>0</v>
      </c>
      <c r="AF50" s="3"/>
      <c r="AG50" s="3">
        <f t="shared" si="8"/>
        <v>10198539</v>
      </c>
    </row>
    <row r="51" spans="1:33">
      <c r="A51" s="3" t="s">
        <v>238</v>
      </c>
      <c r="B51" s="16"/>
      <c r="C51" s="16" t="s">
        <v>158</v>
      </c>
      <c r="E51" s="16">
        <v>50799</v>
      </c>
      <c r="G51" s="3">
        <v>298651</v>
      </c>
      <c r="H51" s="3"/>
      <c r="I51" s="3">
        <v>1460730</v>
      </c>
      <c r="J51" s="3"/>
      <c r="K51" s="3">
        <v>7500</v>
      </c>
      <c r="L51" s="3"/>
      <c r="M51" s="3">
        <f t="shared" si="5"/>
        <v>1766881</v>
      </c>
      <c r="N51" s="3"/>
      <c r="O51" s="3">
        <f>1576060+578934</f>
        <v>2154994</v>
      </c>
      <c r="P51" s="1"/>
      <c r="Q51" s="3">
        <v>2758836</v>
      </c>
      <c r="R51" s="3"/>
      <c r="S51" s="3">
        <v>161092</v>
      </c>
      <c r="T51" s="3"/>
      <c r="U51" s="3">
        <v>0</v>
      </c>
      <c r="V51" s="3"/>
      <c r="W51" s="3">
        <v>0</v>
      </c>
      <c r="X51" s="3"/>
      <c r="Y51" s="3">
        <f>432+6031</f>
        <v>6463</v>
      </c>
      <c r="Z51" s="27"/>
      <c r="AA51" s="3">
        <v>0</v>
      </c>
      <c r="AB51" s="3"/>
      <c r="AC51" s="3">
        <f t="shared" si="6"/>
        <v>5081385</v>
      </c>
      <c r="AD51" s="3"/>
      <c r="AE51" s="3">
        <v>0</v>
      </c>
      <c r="AF51" s="3"/>
      <c r="AG51" s="3">
        <f t="shared" si="8"/>
        <v>6848266</v>
      </c>
    </row>
    <row r="52" spans="1:33">
      <c r="A52" s="3" t="s">
        <v>336</v>
      </c>
      <c r="B52" s="16"/>
      <c r="C52" s="16" t="s">
        <v>161</v>
      </c>
      <c r="E52" s="16">
        <v>51532</v>
      </c>
      <c r="G52" s="3">
        <v>261401</v>
      </c>
      <c r="H52" s="3"/>
      <c r="I52" s="3">
        <v>561460</v>
      </c>
      <c r="J52" s="3"/>
      <c r="K52" s="3">
        <v>0</v>
      </c>
      <c r="L52" s="3"/>
      <c r="M52" s="3">
        <f t="shared" si="5"/>
        <v>822861</v>
      </c>
      <c r="N52" s="3"/>
      <c r="O52" s="3">
        <v>5308770</v>
      </c>
      <c r="P52" s="1"/>
      <c r="Q52" s="3">
        <v>6733779</v>
      </c>
      <c r="R52" s="3"/>
      <c r="S52" s="3">
        <v>39105</v>
      </c>
      <c r="T52" s="3"/>
      <c r="U52" s="3">
        <v>0</v>
      </c>
      <c r="V52" s="3"/>
      <c r="W52" s="3">
        <v>0</v>
      </c>
      <c r="X52" s="3"/>
      <c r="Y52" s="3">
        <v>8927</v>
      </c>
      <c r="Z52" s="27"/>
      <c r="AA52" s="3">
        <v>0</v>
      </c>
      <c r="AB52" s="3"/>
      <c r="AC52" s="3">
        <f t="shared" si="6"/>
        <v>12090581</v>
      </c>
      <c r="AD52" s="3"/>
      <c r="AE52" s="3">
        <v>0</v>
      </c>
      <c r="AF52" s="3"/>
      <c r="AG52" s="3">
        <f t="shared" si="8"/>
        <v>12913442</v>
      </c>
    </row>
    <row r="53" spans="1:33">
      <c r="A53" s="3" t="s">
        <v>255</v>
      </c>
      <c r="B53" s="16"/>
      <c r="C53" s="16" t="s">
        <v>221</v>
      </c>
      <c r="E53" s="16">
        <v>62026</v>
      </c>
      <c r="G53" s="3">
        <v>337392</v>
      </c>
      <c r="H53" s="3"/>
      <c r="I53" s="3">
        <v>611701</v>
      </c>
      <c r="J53" s="3"/>
      <c r="K53" s="3">
        <v>0</v>
      </c>
      <c r="L53" s="3"/>
      <c r="M53" s="3">
        <f>SUM(G53:L53)</f>
        <v>949093</v>
      </c>
      <c r="N53" s="3"/>
      <c r="O53" s="3">
        <v>2163703</v>
      </c>
      <c r="P53" s="1"/>
      <c r="Q53" s="3">
        <v>4559114</v>
      </c>
      <c r="R53" s="3"/>
      <c r="S53" s="3">
        <v>157664</v>
      </c>
      <c r="T53" s="3"/>
      <c r="U53" s="3">
        <v>0</v>
      </c>
      <c r="V53" s="3"/>
      <c r="W53" s="3">
        <v>0</v>
      </c>
      <c r="X53" s="3"/>
      <c r="Y53" s="3">
        <v>37870</v>
      </c>
      <c r="Z53" s="27"/>
      <c r="AA53" s="3">
        <v>0</v>
      </c>
      <c r="AB53" s="3"/>
      <c r="AC53" s="3">
        <f t="shared" si="6"/>
        <v>6918351</v>
      </c>
      <c r="AD53" s="3"/>
      <c r="AE53" s="3">
        <v>0</v>
      </c>
      <c r="AF53" s="3"/>
      <c r="AG53" s="3">
        <f t="shared" si="8"/>
        <v>7867444</v>
      </c>
    </row>
    <row r="54" spans="1:33">
      <c r="A54" s="3" t="s">
        <v>341</v>
      </c>
      <c r="B54" s="16"/>
      <c r="C54" s="16" t="s">
        <v>248</v>
      </c>
      <c r="E54" s="16"/>
      <c r="G54" s="3">
        <v>575400</v>
      </c>
      <c r="H54" s="3"/>
      <c r="I54" s="3">
        <v>601162</v>
      </c>
      <c r="J54" s="3"/>
      <c r="K54" s="3">
        <v>0</v>
      </c>
      <c r="L54" s="3"/>
      <c r="M54" s="3">
        <f>SUM(G54:L54)</f>
        <v>1176562</v>
      </c>
      <c r="N54" s="3"/>
      <c r="O54" s="3">
        <v>7649800</v>
      </c>
      <c r="P54" s="1"/>
      <c r="Q54" s="3">
        <v>3425202</v>
      </c>
      <c r="R54" s="3"/>
      <c r="S54" s="3">
        <v>78598</v>
      </c>
      <c r="T54" s="3"/>
      <c r="U54" s="3">
        <v>0</v>
      </c>
      <c r="V54" s="3"/>
      <c r="W54" s="3">
        <v>0</v>
      </c>
      <c r="X54" s="3"/>
      <c r="Y54" s="3">
        <v>295259</v>
      </c>
      <c r="Z54" s="27"/>
      <c r="AA54" s="3">
        <v>0</v>
      </c>
      <c r="AB54" s="3"/>
      <c r="AC54" s="3">
        <f t="shared" si="6"/>
        <v>11448859</v>
      </c>
      <c r="AD54" s="3"/>
      <c r="AE54" s="3">
        <v>0</v>
      </c>
      <c r="AF54" s="3"/>
      <c r="AG54" s="3">
        <f t="shared" si="8"/>
        <v>12625421</v>
      </c>
    </row>
    <row r="55" spans="1:33">
      <c r="A55" s="3" t="s">
        <v>388</v>
      </c>
      <c r="B55" s="16"/>
      <c r="C55" s="16" t="s">
        <v>153</v>
      </c>
      <c r="E55" s="16">
        <v>51607</v>
      </c>
      <c r="G55" s="3">
        <v>857214</v>
      </c>
      <c r="H55" s="3"/>
      <c r="I55" s="3">
        <v>1024836</v>
      </c>
      <c r="J55" s="3"/>
      <c r="K55" s="3">
        <v>0</v>
      </c>
      <c r="L55" s="3"/>
      <c r="M55" s="3">
        <f t="shared" si="5"/>
        <v>1882050</v>
      </c>
      <c r="N55" s="3"/>
      <c r="O55" s="3">
        <v>3153605</v>
      </c>
      <c r="P55" s="1"/>
      <c r="Q55" s="3">
        <v>4113352</v>
      </c>
      <c r="R55" s="3"/>
      <c r="S55" s="3">
        <v>121009</v>
      </c>
      <c r="T55" s="3"/>
      <c r="U55" s="3">
        <v>0</v>
      </c>
      <c r="V55" s="3"/>
      <c r="W55" s="3">
        <v>0</v>
      </c>
      <c r="X55" s="3"/>
      <c r="Y55" s="3">
        <v>24774</v>
      </c>
      <c r="Z55" s="27"/>
      <c r="AA55" s="3">
        <v>0</v>
      </c>
      <c r="AB55" s="3"/>
      <c r="AC55" s="3">
        <f t="shared" si="6"/>
        <v>7412740</v>
      </c>
      <c r="AD55" s="3"/>
      <c r="AE55" s="3">
        <v>0</v>
      </c>
      <c r="AF55" s="3"/>
      <c r="AG55" s="3">
        <f t="shared" si="8"/>
        <v>9294790</v>
      </c>
    </row>
    <row r="56" spans="1:33">
      <c r="A56" s="3" t="s">
        <v>250</v>
      </c>
      <c r="B56" s="16"/>
      <c r="C56" s="16" t="s">
        <v>251</v>
      </c>
      <c r="E56" s="16">
        <v>65268</v>
      </c>
      <c r="G56" s="3">
        <v>1462484</v>
      </c>
      <c r="H56" s="3"/>
      <c r="I56" s="3">
        <v>3026712</v>
      </c>
      <c r="J56" s="3"/>
      <c r="K56" s="3">
        <v>0</v>
      </c>
      <c r="L56" s="3"/>
      <c r="M56" s="3">
        <f t="shared" si="5"/>
        <v>4489196</v>
      </c>
      <c r="N56" s="3"/>
      <c r="O56" s="3">
        <v>3898298</v>
      </c>
      <c r="P56" s="1"/>
      <c r="Q56" s="3">
        <v>4633460</v>
      </c>
      <c r="R56" s="3"/>
      <c r="S56" s="3">
        <v>8758</v>
      </c>
      <c r="T56" s="3"/>
      <c r="U56" s="3">
        <v>24308</v>
      </c>
      <c r="V56" s="3"/>
      <c r="W56" s="3">
        <v>0</v>
      </c>
      <c r="X56" s="3"/>
      <c r="Y56" s="3">
        <v>232183</v>
      </c>
      <c r="Z56" s="27"/>
      <c r="AA56" s="3">
        <v>0</v>
      </c>
      <c r="AB56" s="3"/>
      <c r="AC56" s="3">
        <f t="shared" si="6"/>
        <v>8797007</v>
      </c>
      <c r="AD56" s="3"/>
      <c r="AE56" s="3">
        <v>0</v>
      </c>
      <c r="AF56" s="3"/>
      <c r="AG56" s="3">
        <f t="shared" si="8"/>
        <v>13286203</v>
      </c>
    </row>
    <row r="57" spans="1:33">
      <c r="A57" s="3" t="s">
        <v>304</v>
      </c>
      <c r="B57" s="16"/>
      <c r="C57" s="16" t="s">
        <v>225</v>
      </c>
      <c r="E57" s="16">
        <v>51631</v>
      </c>
      <c r="G57" s="3">
        <v>2020844</v>
      </c>
      <c r="H57" s="3"/>
      <c r="I57" s="3">
        <v>3135499</v>
      </c>
      <c r="J57" s="3"/>
      <c r="K57" s="3">
        <v>0</v>
      </c>
      <c r="L57" s="3"/>
      <c r="M57" s="3">
        <f t="shared" si="5"/>
        <v>5156343</v>
      </c>
      <c r="N57" s="3"/>
      <c r="O57" s="3">
        <v>5197965</v>
      </c>
      <c r="P57" s="1"/>
      <c r="Q57" s="3">
        <v>6744111</v>
      </c>
      <c r="R57" s="3"/>
      <c r="S57" s="3">
        <v>91840</v>
      </c>
      <c r="T57" s="3"/>
      <c r="U57" s="3">
        <v>0</v>
      </c>
      <c r="V57" s="3"/>
      <c r="W57" s="3">
        <v>0</v>
      </c>
      <c r="X57" s="3"/>
      <c r="Y57" s="3">
        <v>144270</v>
      </c>
      <c r="Z57" s="27"/>
      <c r="AA57" s="3">
        <v>0</v>
      </c>
      <c r="AB57" s="3"/>
      <c r="AC57" s="3">
        <f t="shared" si="6"/>
        <v>12178186</v>
      </c>
      <c r="AD57" s="3"/>
      <c r="AE57" s="3">
        <v>0</v>
      </c>
      <c r="AF57" s="3"/>
      <c r="AG57" s="3">
        <f t="shared" si="8"/>
        <v>17334529</v>
      </c>
    </row>
    <row r="58" spans="1:33">
      <c r="A58" s="3" t="s">
        <v>239</v>
      </c>
      <c r="B58" s="16"/>
      <c r="C58" s="16" t="s">
        <v>163</v>
      </c>
      <c r="E58" s="16">
        <v>62802</v>
      </c>
      <c r="G58" s="3">
        <v>381371</v>
      </c>
      <c r="H58" s="3"/>
      <c r="I58" s="3">
        <v>302137</v>
      </c>
      <c r="J58" s="3"/>
      <c r="K58" s="3">
        <v>0</v>
      </c>
      <c r="L58" s="3"/>
      <c r="M58" s="3">
        <f t="shared" si="5"/>
        <v>683508</v>
      </c>
      <c r="N58" s="3"/>
      <c r="O58" s="3">
        <f>3447659+29228</f>
        <v>3476887</v>
      </c>
      <c r="P58" s="1"/>
      <c r="Q58" s="3">
        <v>3939386</v>
      </c>
      <c r="R58" s="3"/>
      <c r="S58" s="3">
        <v>235226</v>
      </c>
      <c r="T58" s="3"/>
      <c r="U58" s="3">
        <v>0</v>
      </c>
      <c r="V58" s="3"/>
      <c r="W58" s="3">
        <v>32000</v>
      </c>
      <c r="X58" s="3"/>
      <c r="Y58" s="3">
        <v>25632</v>
      </c>
      <c r="Z58" s="27"/>
      <c r="AA58" s="3">
        <v>0</v>
      </c>
      <c r="AB58" s="3"/>
      <c r="AC58" s="3">
        <f t="shared" si="6"/>
        <v>7709131</v>
      </c>
      <c r="AD58" s="3"/>
      <c r="AE58" s="3">
        <v>0</v>
      </c>
      <c r="AF58" s="3"/>
      <c r="AG58" s="3">
        <f t="shared" si="8"/>
        <v>8392639</v>
      </c>
    </row>
    <row r="59" spans="1:33">
      <c r="A59" s="3" t="s">
        <v>253</v>
      </c>
      <c r="B59" s="16"/>
      <c r="C59" s="16" t="s">
        <v>197</v>
      </c>
      <c r="E59" s="16">
        <v>62125</v>
      </c>
      <c r="G59" s="3">
        <v>2080310</v>
      </c>
      <c r="H59" s="3"/>
      <c r="I59" s="3">
        <v>4630769</v>
      </c>
      <c r="J59" s="3"/>
      <c r="K59" s="3">
        <v>0</v>
      </c>
      <c r="L59" s="3"/>
      <c r="M59" s="3">
        <f t="shared" si="5"/>
        <v>6711079</v>
      </c>
      <c r="N59" s="3"/>
      <c r="O59" s="3">
        <f>5508573+793447</f>
        <v>6302020</v>
      </c>
      <c r="P59" s="1"/>
      <c r="Q59" s="3">
        <v>25899174</v>
      </c>
      <c r="R59" s="3"/>
      <c r="S59" s="3">
        <v>55828</v>
      </c>
      <c r="T59" s="3"/>
      <c r="U59" s="3">
        <v>0</v>
      </c>
      <c r="V59" s="3"/>
      <c r="W59" s="3">
        <v>38703</v>
      </c>
      <c r="X59" s="3"/>
      <c r="Y59" s="3">
        <v>25414</v>
      </c>
      <c r="Z59" s="27"/>
      <c r="AA59" s="3">
        <v>0</v>
      </c>
      <c r="AB59" s="3"/>
      <c r="AC59" s="3">
        <f t="shared" si="6"/>
        <v>32321139</v>
      </c>
      <c r="AD59" s="3"/>
      <c r="AE59" s="3">
        <v>0</v>
      </c>
      <c r="AF59" s="3"/>
      <c r="AG59" s="3">
        <f t="shared" si="8"/>
        <v>39032218</v>
      </c>
    </row>
    <row r="60" spans="1:33">
      <c r="A60" s="3" t="s">
        <v>305</v>
      </c>
      <c r="B60" s="16"/>
      <c r="C60" s="16" t="s">
        <v>216</v>
      </c>
      <c r="E60" s="16">
        <v>51458</v>
      </c>
      <c r="G60" s="3">
        <v>1205333</v>
      </c>
      <c r="H60" s="3"/>
      <c r="I60" s="3">
        <v>2351371</v>
      </c>
      <c r="J60" s="3"/>
      <c r="K60" s="3">
        <v>0</v>
      </c>
      <c r="L60" s="3"/>
      <c r="M60" s="3">
        <f t="shared" si="5"/>
        <v>3556704</v>
      </c>
      <c r="N60" s="3"/>
      <c r="O60" s="3">
        <v>4605934</v>
      </c>
      <c r="P60" s="1"/>
      <c r="Q60" s="3">
        <f>7849372+18968885</f>
        <v>26818257</v>
      </c>
      <c r="R60" s="3"/>
      <c r="S60" s="3">
        <v>368036</v>
      </c>
      <c r="T60" s="3"/>
      <c r="U60" s="3">
        <v>0</v>
      </c>
      <c r="V60" s="3"/>
      <c r="W60" s="3">
        <v>0</v>
      </c>
      <c r="X60" s="3"/>
      <c r="Y60" s="3">
        <v>120812</v>
      </c>
      <c r="Z60" s="27"/>
      <c r="AA60" s="3">
        <v>0</v>
      </c>
      <c r="AB60" s="3"/>
      <c r="AC60" s="3">
        <f t="shared" si="6"/>
        <v>31913039</v>
      </c>
      <c r="AD60" s="3"/>
      <c r="AE60" s="3">
        <v>0</v>
      </c>
      <c r="AF60" s="3"/>
      <c r="AG60" s="3">
        <f t="shared" si="8"/>
        <v>35469743</v>
      </c>
    </row>
    <row r="61" spans="1:33">
      <c r="A61" s="3" t="s">
        <v>306</v>
      </c>
      <c r="B61" s="16"/>
      <c r="C61" s="16" t="s">
        <v>229</v>
      </c>
      <c r="E61" s="16">
        <v>51672</v>
      </c>
      <c r="G61" s="3">
        <v>1629312</v>
      </c>
      <c r="H61" s="3"/>
      <c r="I61" s="3">
        <v>1173105</v>
      </c>
      <c r="J61" s="3"/>
      <c r="K61" s="3">
        <v>0</v>
      </c>
      <c r="L61" s="3"/>
      <c r="M61" s="3">
        <f t="shared" si="5"/>
        <v>2802417</v>
      </c>
      <c r="N61" s="3"/>
      <c r="O61" s="3">
        <f>2523145+692652+452996</f>
        <v>3668793</v>
      </c>
      <c r="P61" s="1"/>
      <c r="Q61" s="3">
        <f>4298015+16254416</f>
        <v>20552431</v>
      </c>
      <c r="R61" s="3"/>
      <c r="S61" s="3">
        <v>154211</v>
      </c>
      <c r="T61" s="3"/>
      <c r="U61" s="3">
        <v>0</v>
      </c>
      <c r="V61" s="3"/>
      <c r="W61" s="3">
        <v>0</v>
      </c>
      <c r="X61" s="3"/>
      <c r="Y61" s="3">
        <v>16221</v>
      </c>
      <c r="Z61" s="27"/>
      <c r="AA61" s="3">
        <v>0</v>
      </c>
      <c r="AB61" s="3"/>
      <c r="AC61" s="3">
        <f t="shared" si="6"/>
        <v>24391656</v>
      </c>
      <c r="AD61" s="3"/>
      <c r="AE61" s="3">
        <v>0</v>
      </c>
      <c r="AF61" s="3"/>
      <c r="AG61" s="3">
        <f t="shared" si="8"/>
        <v>27194073</v>
      </c>
    </row>
    <row r="62" spans="1:33">
      <c r="A62" s="3" t="s">
        <v>257</v>
      </c>
      <c r="B62" s="16"/>
      <c r="C62" s="16" t="s">
        <v>231</v>
      </c>
      <c r="E62" s="16">
        <v>51474</v>
      </c>
      <c r="G62" s="3">
        <v>3620964</v>
      </c>
      <c r="H62" s="3"/>
      <c r="I62" s="3">
        <v>1004618</v>
      </c>
      <c r="J62" s="3"/>
      <c r="K62" s="3">
        <v>0</v>
      </c>
      <c r="L62" s="3"/>
      <c r="M62" s="3">
        <f t="shared" si="5"/>
        <v>4625582</v>
      </c>
      <c r="N62" s="3"/>
      <c r="O62" s="3">
        <v>7238810</v>
      </c>
      <c r="P62" s="1"/>
      <c r="Q62" s="3">
        <v>6354723</v>
      </c>
      <c r="R62" s="3"/>
      <c r="S62" s="3">
        <v>185188</v>
      </c>
      <c r="T62" s="3"/>
      <c r="U62" s="3">
        <v>361027</v>
      </c>
      <c r="V62" s="3"/>
      <c r="W62" s="3">
        <v>0</v>
      </c>
      <c r="X62" s="3"/>
      <c r="Y62" s="3">
        <v>22563</v>
      </c>
      <c r="Z62" s="27"/>
      <c r="AA62" s="3">
        <v>0</v>
      </c>
      <c r="AB62" s="3"/>
      <c r="AC62" s="3">
        <f t="shared" si="6"/>
        <v>14162311</v>
      </c>
      <c r="AD62" s="3"/>
      <c r="AE62" s="3">
        <v>0</v>
      </c>
      <c r="AF62" s="3"/>
      <c r="AG62" s="3">
        <f t="shared" si="8"/>
        <v>18787893</v>
      </c>
    </row>
    <row r="63" spans="1:33">
      <c r="A63" s="3" t="s">
        <v>325</v>
      </c>
      <c r="B63" s="16"/>
      <c r="C63" s="16" t="s">
        <v>232</v>
      </c>
      <c r="E63" s="16">
        <v>51698</v>
      </c>
      <c r="G63" s="3">
        <v>2331333</v>
      </c>
      <c r="H63" s="3"/>
      <c r="I63" s="3">
        <v>1249566</v>
      </c>
      <c r="J63" s="3"/>
      <c r="K63" s="3">
        <v>2286</v>
      </c>
      <c r="L63" s="3"/>
      <c r="M63" s="3">
        <f t="shared" si="5"/>
        <v>3583185</v>
      </c>
      <c r="N63" s="3"/>
      <c r="O63" s="3">
        <v>1836867</v>
      </c>
      <c r="P63" s="1"/>
      <c r="Q63" s="3">
        <v>3630505</v>
      </c>
      <c r="R63" s="3"/>
      <c r="S63" s="3">
        <v>94174</v>
      </c>
      <c r="T63" s="3"/>
      <c r="U63" s="3">
        <v>33735</v>
      </c>
      <c r="V63" s="3"/>
      <c r="W63" s="3">
        <v>0</v>
      </c>
      <c r="X63" s="3"/>
      <c r="Y63" s="3">
        <f>23987+3106</f>
        <v>27093</v>
      </c>
      <c r="Z63" s="27"/>
      <c r="AA63" s="3">
        <v>0</v>
      </c>
      <c r="AB63" s="3"/>
      <c r="AC63" s="3">
        <f t="shared" si="6"/>
        <v>5622374</v>
      </c>
      <c r="AD63" s="3"/>
      <c r="AE63" s="3">
        <v>0</v>
      </c>
      <c r="AF63" s="3"/>
      <c r="AG63" s="3">
        <f t="shared" si="8"/>
        <v>9205559</v>
      </c>
    </row>
    <row r="64" spans="1:33">
      <c r="A64" s="3" t="s">
        <v>307</v>
      </c>
      <c r="B64" s="16"/>
      <c r="C64" s="16" t="s">
        <v>234</v>
      </c>
      <c r="E64" s="16">
        <v>51714</v>
      </c>
      <c r="G64" s="3">
        <v>1602977</v>
      </c>
      <c r="H64" s="3"/>
      <c r="I64" s="3">
        <v>4393230</v>
      </c>
      <c r="J64" s="3"/>
      <c r="K64" s="3">
        <v>234970</v>
      </c>
      <c r="L64" s="3"/>
      <c r="M64" s="3">
        <f t="shared" si="5"/>
        <v>6231177</v>
      </c>
      <c r="N64" s="3"/>
      <c r="O64" s="3">
        <f>3972685+1328485</f>
        <v>5301170</v>
      </c>
      <c r="P64" s="1"/>
      <c r="Q64" s="3">
        <v>4984585</v>
      </c>
      <c r="R64" s="3"/>
      <c r="S64" s="3">
        <v>12807</v>
      </c>
      <c r="T64" s="3"/>
      <c r="U64" s="3">
        <v>0</v>
      </c>
      <c r="V64" s="3"/>
      <c r="W64" s="3">
        <v>0</v>
      </c>
      <c r="X64" s="3"/>
      <c r="Y64" s="3">
        <v>3554</v>
      </c>
      <c r="Z64" s="27"/>
      <c r="AA64" s="3">
        <v>0</v>
      </c>
      <c r="AB64" s="3"/>
      <c r="AC64" s="3">
        <f t="shared" si="6"/>
        <v>10302116</v>
      </c>
      <c r="AD64" s="3"/>
      <c r="AE64" s="3">
        <v>0</v>
      </c>
      <c r="AF64" s="3"/>
      <c r="AG64" s="3">
        <f t="shared" si="8"/>
        <v>16533293</v>
      </c>
    </row>
    <row r="65" spans="1:33">
      <c r="A65" s="3"/>
      <c r="B65" s="16"/>
      <c r="C65" s="16"/>
      <c r="E65" s="16"/>
      <c r="G65" s="3"/>
      <c r="H65" s="3"/>
      <c r="I65" s="3"/>
      <c r="J65" s="3"/>
      <c r="K65" s="3"/>
      <c r="L65" s="3"/>
      <c r="M65" s="3"/>
      <c r="N65" s="3"/>
      <c r="O65" s="3"/>
      <c r="P65" s="1"/>
      <c r="Q65" s="3"/>
      <c r="R65" s="3"/>
      <c r="S65" s="3"/>
      <c r="T65" s="3"/>
      <c r="U65" s="3"/>
      <c r="V65" s="3"/>
      <c r="W65" s="3"/>
      <c r="X65" s="3"/>
      <c r="Y65" s="3"/>
      <c r="Z65" s="27"/>
      <c r="AA65" s="3"/>
      <c r="AB65" s="3"/>
      <c r="AC65" s="3"/>
      <c r="AD65" s="3"/>
      <c r="AE65" s="3"/>
      <c r="AF65" s="3"/>
      <c r="AG65" s="3"/>
    </row>
    <row r="66" spans="1:33">
      <c r="A66" s="3"/>
      <c r="B66" s="16"/>
      <c r="C66" s="16"/>
      <c r="E66" s="16"/>
      <c r="G66" s="3"/>
      <c r="H66" s="3"/>
      <c r="I66" s="3"/>
      <c r="J66" s="3"/>
      <c r="K66" s="3"/>
      <c r="L66" s="3"/>
      <c r="M66" s="3"/>
      <c r="N66" s="3"/>
      <c r="O66" s="3"/>
      <c r="P66" s="1"/>
      <c r="Q66" s="3"/>
      <c r="R66" s="3"/>
      <c r="S66" s="3"/>
      <c r="T66" s="3"/>
      <c r="U66" s="3"/>
      <c r="V66" s="3"/>
      <c r="W66" s="3"/>
      <c r="X66" s="3"/>
      <c r="Y66" s="3"/>
      <c r="Z66" s="27"/>
      <c r="AA66" s="3"/>
      <c r="AB66" s="3"/>
      <c r="AC66" s="3"/>
      <c r="AD66" s="3"/>
      <c r="AE66" s="3"/>
      <c r="AF66" s="3"/>
      <c r="AG66" s="17" t="s">
        <v>310</v>
      </c>
    </row>
    <row r="67" spans="1:33">
      <c r="A67" s="44" t="s">
        <v>309</v>
      </c>
      <c r="B67" s="16"/>
      <c r="C67" s="16"/>
      <c r="E67" s="16"/>
      <c r="G67" s="3"/>
      <c r="H67" s="3"/>
      <c r="I67" s="3"/>
      <c r="J67" s="3"/>
      <c r="K67" s="3"/>
      <c r="L67" s="3"/>
      <c r="M67" s="3"/>
      <c r="N67" s="3"/>
      <c r="O67" s="3"/>
      <c r="P67" s="1"/>
      <c r="Q67" s="3"/>
      <c r="R67" s="3"/>
      <c r="S67" s="3"/>
      <c r="T67" s="3"/>
      <c r="U67" s="3"/>
      <c r="V67" s="3"/>
      <c r="W67" s="3"/>
      <c r="X67" s="3"/>
      <c r="Y67" s="3"/>
      <c r="Z67" s="27"/>
      <c r="AA67" s="3"/>
      <c r="AB67" s="3"/>
      <c r="AC67" s="3"/>
      <c r="AD67" s="3"/>
      <c r="AE67" s="3"/>
      <c r="AF67" s="3"/>
      <c r="AG67" s="3"/>
    </row>
    <row r="68" spans="1:33">
      <c r="A68" s="44"/>
      <c r="B68" s="16"/>
      <c r="C68" s="16"/>
      <c r="E68" s="16"/>
      <c r="G68" s="3"/>
      <c r="H68" s="3"/>
      <c r="I68" s="3"/>
      <c r="J68" s="3"/>
      <c r="K68" s="3"/>
      <c r="L68" s="3"/>
      <c r="M68" s="3"/>
      <c r="N68" s="3"/>
      <c r="O68" s="3"/>
      <c r="P68" s="1"/>
      <c r="Q68" s="3"/>
      <c r="R68" s="3"/>
      <c r="S68" s="3"/>
      <c r="T68" s="3"/>
      <c r="U68" s="3"/>
      <c r="V68" s="3"/>
      <c r="W68" s="3"/>
      <c r="X68" s="3"/>
      <c r="Y68" s="3"/>
      <c r="Z68" s="27"/>
      <c r="AA68" s="3"/>
      <c r="AB68" s="3"/>
      <c r="AC68" s="3"/>
      <c r="AD68" s="3"/>
      <c r="AE68" s="3"/>
      <c r="AF68" s="3"/>
      <c r="AG68" s="3"/>
    </row>
    <row r="69" spans="1:33" hidden="1">
      <c r="A69" s="3" t="s">
        <v>345</v>
      </c>
      <c r="B69" s="3"/>
      <c r="C69" s="3" t="s">
        <v>321</v>
      </c>
      <c r="E69" s="16">
        <v>45849</v>
      </c>
      <c r="G69" s="3"/>
      <c r="H69" s="3"/>
      <c r="I69" s="3"/>
      <c r="J69" s="3"/>
      <c r="K69" s="3"/>
      <c r="L69" s="3"/>
      <c r="M69" s="3">
        <f t="shared" si="2"/>
        <v>0</v>
      </c>
      <c r="N69" s="3"/>
      <c r="O69" s="3"/>
      <c r="P69" s="1"/>
      <c r="Q69" s="3"/>
      <c r="R69" s="3"/>
      <c r="S69" s="3"/>
      <c r="T69" s="3"/>
      <c r="U69" s="3"/>
      <c r="V69" s="3"/>
      <c r="W69" s="3"/>
      <c r="X69" s="3"/>
      <c r="Y69" s="3"/>
      <c r="Z69" s="27"/>
      <c r="AA69" s="3"/>
      <c r="AB69" s="3"/>
      <c r="AC69" s="3">
        <f>SUM(O69:AA69)</f>
        <v>0</v>
      </c>
      <c r="AD69" s="3"/>
      <c r="AE69" s="3">
        <v>0</v>
      </c>
      <c r="AF69" s="3"/>
      <c r="AG69" s="3">
        <f t="shared" ref="AG69:AG107" si="9">+AC69+M69</f>
        <v>0</v>
      </c>
    </row>
    <row r="70" spans="1:33" hidden="1">
      <c r="A70" s="3" t="s">
        <v>346</v>
      </c>
      <c r="B70" s="3"/>
      <c r="C70" s="3" t="s">
        <v>152</v>
      </c>
      <c r="E70" s="16"/>
      <c r="G70" s="3"/>
      <c r="H70" s="3"/>
      <c r="I70" s="3"/>
      <c r="J70" s="3"/>
      <c r="K70" s="3"/>
      <c r="L70" s="3"/>
      <c r="M70" s="3">
        <f>SUM(G70:L70)</f>
        <v>0</v>
      </c>
      <c r="N70" s="3"/>
      <c r="O70" s="3"/>
      <c r="P70" s="1"/>
      <c r="Q70" s="3"/>
      <c r="R70" s="3"/>
      <c r="S70" s="3"/>
      <c r="T70" s="3"/>
      <c r="U70" s="3"/>
      <c r="V70" s="3"/>
      <c r="W70" s="3"/>
      <c r="X70" s="3"/>
      <c r="Y70" s="3"/>
      <c r="Z70" s="27"/>
      <c r="AA70" s="3"/>
      <c r="AB70" s="3"/>
      <c r="AC70" s="3">
        <f>SUM(O70:AA70)</f>
        <v>0</v>
      </c>
      <c r="AD70" s="3"/>
      <c r="AE70" s="3">
        <v>0</v>
      </c>
      <c r="AF70" s="3"/>
      <c r="AG70" s="3">
        <f t="shared" si="9"/>
        <v>0</v>
      </c>
    </row>
    <row r="71" spans="1:33">
      <c r="A71" s="3" t="s">
        <v>156</v>
      </c>
      <c r="B71" s="3"/>
      <c r="C71" s="3" t="s">
        <v>153</v>
      </c>
      <c r="E71" s="16">
        <v>135145</v>
      </c>
      <c r="G71" s="34">
        <v>3884411</v>
      </c>
      <c r="H71" s="34"/>
      <c r="I71" s="34">
        <v>4090792</v>
      </c>
      <c r="J71" s="34"/>
      <c r="K71" s="34">
        <v>0</v>
      </c>
      <c r="L71" s="34"/>
      <c r="M71" s="34">
        <f t="shared" si="2"/>
        <v>7975203</v>
      </c>
      <c r="N71" s="34"/>
      <c r="O71" s="34">
        <v>0</v>
      </c>
      <c r="P71" s="40"/>
      <c r="Q71" s="34">
        <v>367052</v>
      </c>
      <c r="R71" s="34"/>
      <c r="S71" s="34">
        <v>16482</v>
      </c>
      <c r="T71" s="34"/>
      <c r="U71" s="34">
        <v>0</v>
      </c>
      <c r="V71" s="34"/>
      <c r="W71" s="34">
        <v>13</v>
      </c>
      <c r="X71" s="34"/>
      <c r="Y71" s="34">
        <v>89604</v>
      </c>
      <c r="Z71" s="41"/>
      <c r="AA71" s="34">
        <v>0</v>
      </c>
      <c r="AB71" s="34"/>
      <c r="AC71" s="34">
        <f>SUM(O71:AA71)</f>
        <v>473151</v>
      </c>
      <c r="AD71" s="34"/>
      <c r="AE71" s="34">
        <v>0</v>
      </c>
      <c r="AF71" s="34"/>
      <c r="AG71" s="34">
        <f t="shared" si="9"/>
        <v>8448354</v>
      </c>
    </row>
    <row r="72" spans="1:33" hidden="1">
      <c r="A72" s="3" t="s">
        <v>362</v>
      </c>
      <c r="B72" s="3"/>
      <c r="C72" s="3" t="s">
        <v>322</v>
      </c>
      <c r="E72" s="16"/>
      <c r="G72" s="3"/>
      <c r="H72" s="3"/>
      <c r="I72" s="3"/>
      <c r="J72" s="3"/>
      <c r="K72" s="3"/>
      <c r="L72" s="3"/>
      <c r="M72" s="3">
        <f>SUM(G72:L72)</f>
        <v>0</v>
      </c>
      <c r="N72" s="3"/>
      <c r="O72" s="3"/>
      <c r="P72" s="1"/>
      <c r="Q72" s="3"/>
      <c r="R72" s="3"/>
      <c r="S72" s="3"/>
      <c r="T72" s="3"/>
      <c r="U72" s="3"/>
      <c r="V72" s="3"/>
      <c r="W72" s="3"/>
      <c r="X72" s="3"/>
      <c r="Y72" s="3"/>
      <c r="Z72" s="27"/>
      <c r="AA72" s="3"/>
      <c r="AB72" s="3"/>
      <c r="AC72" s="3">
        <f t="shared" ref="AC72:AC130" si="10">SUM(O72:AA72)</f>
        <v>0</v>
      </c>
      <c r="AD72" s="3"/>
      <c r="AE72" s="3">
        <v>0</v>
      </c>
      <c r="AF72" s="3"/>
      <c r="AG72" s="3">
        <f t="shared" si="9"/>
        <v>0</v>
      </c>
    </row>
    <row r="73" spans="1:33">
      <c r="A73" s="16" t="s">
        <v>365</v>
      </c>
      <c r="B73" s="16"/>
      <c r="C73" s="16" t="s">
        <v>158</v>
      </c>
      <c r="E73" s="16">
        <v>46029</v>
      </c>
      <c r="G73" s="3">
        <v>3753345</v>
      </c>
      <c r="H73" s="3"/>
      <c r="I73" s="3">
        <v>783399</v>
      </c>
      <c r="J73" s="3"/>
      <c r="K73" s="3">
        <v>0</v>
      </c>
      <c r="L73" s="3"/>
      <c r="M73" s="3">
        <f t="shared" si="2"/>
        <v>4536744</v>
      </c>
      <c r="N73" s="3"/>
      <c r="O73" s="3">
        <v>0</v>
      </c>
      <c r="P73" s="1"/>
      <c r="Q73" s="3">
        <v>225508</v>
      </c>
      <c r="R73" s="3"/>
      <c r="S73" s="3">
        <v>42215</v>
      </c>
      <c r="T73" s="3"/>
      <c r="U73" s="3">
        <v>0</v>
      </c>
      <c r="V73" s="3"/>
      <c r="W73" s="3">
        <v>0</v>
      </c>
      <c r="X73" s="3"/>
      <c r="Y73" s="3">
        <v>0</v>
      </c>
      <c r="Z73" s="27"/>
      <c r="AA73" s="3">
        <v>0</v>
      </c>
      <c r="AB73" s="3"/>
      <c r="AC73" s="3">
        <f t="shared" si="10"/>
        <v>267723</v>
      </c>
      <c r="AD73" s="3"/>
      <c r="AE73" s="3">
        <v>0</v>
      </c>
      <c r="AF73" s="3"/>
      <c r="AG73" s="3">
        <f t="shared" si="9"/>
        <v>4804467</v>
      </c>
    </row>
    <row r="74" spans="1:33">
      <c r="A74" s="16" t="s">
        <v>364</v>
      </c>
      <c r="B74" s="16"/>
      <c r="C74" s="16" t="s">
        <v>155</v>
      </c>
      <c r="E74" s="16">
        <v>46086</v>
      </c>
      <c r="G74" s="3">
        <v>4834811</v>
      </c>
      <c r="H74" s="3"/>
      <c r="I74" s="3">
        <v>6660397</v>
      </c>
      <c r="J74" s="3"/>
      <c r="K74" s="3">
        <v>0</v>
      </c>
      <c r="L74" s="3"/>
      <c r="M74" s="3">
        <f t="shared" si="2"/>
        <v>11495208</v>
      </c>
      <c r="N74" s="3"/>
      <c r="O74" s="3">
        <v>0</v>
      </c>
      <c r="P74" s="1"/>
      <c r="Q74" s="3">
        <v>1988095</v>
      </c>
      <c r="R74" s="3"/>
      <c r="S74" s="3">
        <v>1985</v>
      </c>
      <c r="T74" s="3"/>
      <c r="U74" s="3">
        <v>0</v>
      </c>
      <c r="V74" s="3"/>
      <c r="W74" s="3">
        <v>646048</v>
      </c>
      <c r="X74" s="3"/>
      <c r="Y74" s="3">
        <v>512003</v>
      </c>
      <c r="Z74" s="27"/>
      <c r="AA74" s="3">
        <v>0</v>
      </c>
      <c r="AB74" s="3"/>
      <c r="AC74" s="3">
        <f t="shared" si="10"/>
        <v>3148131</v>
      </c>
      <c r="AD74" s="3"/>
      <c r="AE74" s="3">
        <v>0</v>
      </c>
      <c r="AF74" s="3"/>
      <c r="AG74" s="3">
        <f t="shared" si="9"/>
        <v>14643339</v>
      </c>
    </row>
    <row r="75" spans="1:33">
      <c r="A75" s="16" t="s">
        <v>366</v>
      </c>
      <c r="B75" s="16"/>
      <c r="C75" s="16" t="s">
        <v>161</v>
      </c>
      <c r="E75" s="16">
        <v>46227</v>
      </c>
      <c r="G75" s="3">
        <v>4565087</v>
      </c>
      <c r="H75" s="3"/>
      <c r="I75" s="3">
        <v>470915</v>
      </c>
      <c r="J75" s="3"/>
      <c r="K75" s="3">
        <v>0</v>
      </c>
      <c r="L75" s="3"/>
      <c r="M75" s="3">
        <f t="shared" si="2"/>
        <v>5036002</v>
      </c>
      <c r="N75" s="3"/>
      <c r="O75" s="3">
        <v>0</v>
      </c>
      <c r="P75" s="1"/>
      <c r="Q75" s="3">
        <v>1156261</v>
      </c>
      <c r="R75" s="3"/>
      <c r="S75" s="3">
        <v>11289</v>
      </c>
      <c r="T75" s="3"/>
      <c r="U75" s="3">
        <v>0</v>
      </c>
      <c r="V75" s="3"/>
      <c r="W75" s="3">
        <v>0</v>
      </c>
      <c r="X75" s="3"/>
      <c r="Y75" s="3">
        <v>195157</v>
      </c>
      <c r="Z75" s="27"/>
      <c r="AA75" s="3">
        <v>0</v>
      </c>
      <c r="AB75" s="3"/>
      <c r="AC75" s="3">
        <f t="shared" si="10"/>
        <v>1362707</v>
      </c>
      <c r="AD75" s="3"/>
      <c r="AE75" s="3">
        <v>0</v>
      </c>
      <c r="AF75" s="3"/>
      <c r="AG75" s="3">
        <f t="shared" si="9"/>
        <v>6398709</v>
      </c>
    </row>
    <row r="76" spans="1:33">
      <c r="A76" s="16" t="s">
        <v>162</v>
      </c>
      <c r="B76" s="16"/>
      <c r="C76" s="16" t="s">
        <v>163</v>
      </c>
      <c r="E76" s="16">
        <v>46292</v>
      </c>
      <c r="G76" s="3">
        <v>16982491</v>
      </c>
      <c r="H76" s="3"/>
      <c r="I76" s="3">
        <v>1269688</v>
      </c>
      <c r="J76" s="3"/>
      <c r="K76" s="3">
        <v>0</v>
      </c>
      <c r="L76" s="3"/>
      <c r="M76" s="3">
        <f t="shared" si="2"/>
        <v>18252179</v>
      </c>
      <c r="N76" s="3"/>
      <c r="O76" s="3">
        <v>0</v>
      </c>
      <c r="P76" s="1"/>
      <c r="Q76" s="3">
        <v>961320</v>
      </c>
      <c r="R76" s="3"/>
      <c r="S76" s="3">
        <v>8482</v>
      </c>
      <c r="T76" s="3"/>
      <c r="U76" s="3">
        <v>0</v>
      </c>
      <c r="V76" s="3"/>
      <c r="W76" s="3">
        <v>92625</v>
      </c>
      <c r="X76" s="3"/>
      <c r="Y76" s="3">
        <v>8995</v>
      </c>
      <c r="Z76" s="27"/>
      <c r="AA76" s="3">
        <v>0</v>
      </c>
      <c r="AB76" s="3"/>
      <c r="AC76" s="3">
        <f t="shared" si="10"/>
        <v>1071422</v>
      </c>
      <c r="AD76" s="3"/>
      <c r="AE76" s="3">
        <v>0</v>
      </c>
      <c r="AF76" s="3"/>
      <c r="AG76" s="3">
        <f t="shared" si="9"/>
        <v>19323601</v>
      </c>
    </row>
    <row r="77" spans="1:33" hidden="1">
      <c r="A77" s="16" t="s">
        <v>350</v>
      </c>
      <c r="B77" s="16"/>
      <c r="C77" s="16" t="s">
        <v>164</v>
      </c>
      <c r="E77" s="16">
        <v>46375</v>
      </c>
      <c r="G77" s="3"/>
      <c r="H77" s="3"/>
      <c r="I77" s="3"/>
      <c r="J77" s="3"/>
      <c r="K77" s="3"/>
      <c r="L77" s="3"/>
      <c r="M77" s="3">
        <f t="shared" si="2"/>
        <v>0</v>
      </c>
      <c r="N77" s="3"/>
      <c r="O77" s="3"/>
      <c r="P77" s="1"/>
      <c r="Q77" s="3"/>
      <c r="R77" s="3"/>
      <c r="S77" s="3"/>
      <c r="T77" s="3"/>
      <c r="U77" s="3"/>
      <c r="V77" s="3"/>
      <c r="W77" s="3"/>
      <c r="X77" s="3"/>
      <c r="Y77" s="3"/>
      <c r="Z77" s="27"/>
      <c r="AA77" s="3"/>
      <c r="AB77" s="3"/>
      <c r="AC77" s="3">
        <f t="shared" si="10"/>
        <v>0</v>
      </c>
      <c r="AD77" s="3"/>
      <c r="AE77" s="3">
        <v>0</v>
      </c>
      <c r="AF77" s="3"/>
      <c r="AG77" s="3">
        <f t="shared" si="9"/>
        <v>0</v>
      </c>
    </row>
    <row r="78" spans="1:33">
      <c r="A78" s="16" t="s">
        <v>367</v>
      </c>
      <c r="B78" s="16"/>
      <c r="C78" s="16" t="s">
        <v>165</v>
      </c>
      <c r="E78" s="16">
        <v>46417</v>
      </c>
      <c r="G78" s="3">
        <v>7235195</v>
      </c>
      <c r="H78" s="3"/>
      <c r="I78" s="3">
        <v>2170958</v>
      </c>
      <c r="J78" s="3"/>
      <c r="K78" s="3">
        <v>0</v>
      </c>
      <c r="L78" s="3"/>
      <c r="M78" s="3">
        <f t="shared" si="2"/>
        <v>9406153</v>
      </c>
      <c r="N78" s="3"/>
      <c r="O78" s="3">
        <v>0</v>
      </c>
      <c r="P78" s="1"/>
      <c r="Q78" s="3">
        <v>426974</v>
      </c>
      <c r="R78" s="3"/>
      <c r="S78" s="3">
        <v>2676</v>
      </c>
      <c r="T78" s="3"/>
      <c r="U78" s="3">
        <v>0</v>
      </c>
      <c r="V78" s="3"/>
      <c r="W78" s="3">
        <v>0</v>
      </c>
      <c r="X78" s="3"/>
      <c r="Y78" s="3">
        <v>4209</v>
      </c>
      <c r="Z78" s="27"/>
      <c r="AA78" s="3">
        <v>0</v>
      </c>
      <c r="AB78" s="3"/>
      <c r="AC78" s="3">
        <f t="shared" si="10"/>
        <v>433859</v>
      </c>
      <c r="AD78" s="3"/>
      <c r="AE78" s="3">
        <v>0</v>
      </c>
      <c r="AF78" s="3"/>
      <c r="AG78" s="3">
        <f t="shared" si="9"/>
        <v>9840012</v>
      </c>
    </row>
    <row r="79" spans="1:33">
      <c r="A79" s="16" t="s">
        <v>166</v>
      </c>
      <c r="B79" s="16"/>
      <c r="C79" s="16" t="s">
        <v>167</v>
      </c>
      <c r="E79" s="16">
        <v>46532</v>
      </c>
      <c r="G79" s="3">
        <v>47013724</v>
      </c>
      <c r="H79" s="3"/>
      <c r="I79" s="3">
        <v>13545219</v>
      </c>
      <c r="J79" s="3"/>
      <c r="K79" s="3">
        <v>0</v>
      </c>
      <c r="L79" s="3"/>
      <c r="M79" s="3">
        <f t="shared" si="2"/>
        <v>60558943</v>
      </c>
      <c r="N79" s="3"/>
      <c r="O79" s="3">
        <v>0</v>
      </c>
      <c r="P79" s="1"/>
      <c r="Q79" s="3">
        <v>6565325</v>
      </c>
      <c r="R79" s="3"/>
      <c r="S79" s="3">
        <v>102054</v>
      </c>
      <c r="T79" s="3"/>
      <c r="U79" s="3">
        <v>0</v>
      </c>
      <c r="V79" s="3"/>
      <c r="W79" s="3">
        <v>0</v>
      </c>
      <c r="X79" s="3"/>
      <c r="Y79" s="3">
        <f>5100+345498</f>
        <v>350598</v>
      </c>
      <c r="Z79" s="27"/>
      <c r="AA79" s="3">
        <v>0</v>
      </c>
      <c r="AB79" s="3"/>
      <c r="AC79" s="3">
        <f t="shared" si="10"/>
        <v>7017977</v>
      </c>
      <c r="AD79" s="3"/>
      <c r="AE79" s="3">
        <v>0</v>
      </c>
      <c r="AF79" s="3"/>
      <c r="AG79" s="3">
        <f t="shared" si="9"/>
        <v>67576920</v>
      </c>
    </row>
    <row r="80" spans="1:33" hidden="1">
      <c r="A80" s="3" t="s">
        <v>339</v>
      </c>
      <c r="B80" s="16"/>
      <c r="C80" s="16" t="s">
        <v>169</v>
      </c>
      <c r="E80" s="16">
        <v>46615</v>
      </c>
      <c r="G80" s="3"/>
      <c r="H80" s="3"/>
      <c r="I80" s="3"/>
      <c r="J80" s="3"/>
      <c r="K80" s="3"/>
      <c r="L80" s="3"/>
      <c r="M80" s="3">
        <f t="shared" si="2"/>
        <v>0</v>
      </c>
      <c r="N80" s="3"/>
      <c r="O80" s="3"/>
      <c r="P80" s="1"/>
      <c r="Q80" s="3"/>
      <c r="R80" s="3"/>
      <c r="S80" s="3"/>
      <c r="T80" s="3"/>
      <c r="U80" s="3"/>
      <c r="V80" s="3"/>
      <c r="W80" s="3"/>
      <c r="X80" s="3"/>
      <c r="Y80" s="3"/>
      <c r="Z80" s="27"/>
      <c r="AA80" s="3"/>
      <c r="AB80" s="3"/>
      <c r="AC80" s="3">
        <f t="shared" si="10"/>
        <v>0</v>
      </c>
      <c r="AD80" s="3"/>
      <c r="AE80" s="3">
        <v>0</v>
      </c>
      <c r="AF80" s="3"/>
      <c r="AG80" s="3">
        <f t="shared" si="9"/>
        <v>0</v>
      </c>
    </row>
    <row r="81" spans="1:33" hidden="1">
      <c r="A81" s="3" t="s">
        <v>363</v>
      </c>
      <c r="B81" s="16"/>
      <c r="C81" s="16" t="s">
        <v>171</v>
      </c>
      <c r="E81" s="16">
        <v>46730</v>
      </c>
      <c r="G81" s="3"/>
      <c r="H81" s="3"/>
      <c r="I81" s="3"/>
      <c r="J81" s="3"/>
      <c r="K81" s="3"/>
      <c r="L81" s="3"/>
      <c r="M81" s="3">
        <f t="shared" si="2"/>
        <v>0</v>
      </c>
      <c r="N81" s="3"/>
      <c r="O81" s="3"/>
      <c r="P81" s="1"/>
      <c r="Q81" s="3"/>
      <c r="R81" s="3"/>
      <c r="S81" s="3"/>
      <c r="T81" s="3"/>
      <c r="U81" s="3"/>
      <c r="V81" s="3"/>
      <c r="W81" s="3"/>
      <c r="X81" s="3"/>
      <c r="Y81" s="3"/>
      <c r="Z81" s="27"/>
      <c r="AA81" s="3"/>
      <c r="AB81" s="3"/>
      <c r="AC81" s="3">
        <f t="shared" si="10"/>
        <v>0</v>
      </c>
      <c r="AD81" s="3"/>
      <c r="AE81" s="3">
        <v>0</v>
      </c>
      <c r="AF81" s="3"/>
      <c r="AG81" s="3">
        <f t="shared" si="9"/>
        <v>0</v>
      </c>
    </row>
    <row r="82" spans="1:33">
      <c r="A82" s="3" t="s">
        <v>384</v>
      </c>
      <c r="B82" s="3"/>
      <c r="C82" s="3" t="s">
        <v>227</v>
      </c>
      <c r="D82" s="3"/>
      <c r="E82" s="12">
        <v>50260</v>
      </c>
      <c r="G82" s="3">
        <v>6155715</v>
      </c>
      <c r="H82" s="3"/>
      <c r="I82" s="3">
        <v>691150</v>
      </c>
      <c r="J82" s="3"/>
      <c r="K82" s="3">
        <v>0</v>
      </c>
      <c r="L82" s="3"/>
      <c r="M82" s="3">
        <f t="shared" si="2"/>
        <v>6846865</v>
      </c>
      <c r="N82" s="3"/>
      <c r="O82" s="3">
        <v>0</v>
      </c>
      <c r="P82" s="1"/>
      <c r="Q82" s="3">
        <v>1751730</v>
      </c>
      <c r="R82" s="3"/>
      <c r="S82" s="3">
        <v>6047</v>
      </c>
      <c r="T82" s="3"/>
      <c r="U82" s="3">
        <v>0</v>
      </c>
      <c r="V82" s="3"/>
      <c r="W82" s="3">
        <v>0</v>
      </c>
      <c r="X82" s="3"/>
      <c r="Y82" s="3">
        <v>41017</v>
      </c>
      <c r="Z82" s="27"/>
      <c r="AA82" s="3">
        <v>0</v>
      </c>
      <c r="AB82" s="3"/>
      <c r="AC82" s="3">
        <f t="shared" ref="AC82" si="11">SUM(O82:AA82)</f>
        <v>1798794</v>
      </c>
      <c r="AD82" s="3"/>
      <c r="AE82" s="3">
        <v>0</v>
      </c>
      <c r="AF82" s="3"/>
      <c r="AG82" s="3">
        <f t="shared" si="9"/>
        <v>8645659</v>
      </c>
    </row>
    <row r="83" spans="1:33" hidden="1">
      <c r="A83" s="16" t="s">
        <v>344</v>
      </c>
      <c r="B83" s="16"/>
      <c r="C83" s="16" t="s">
        <v>172</v>
      </c>
      <c r="E83" s="16">
        <v>125690</v>
      </c>
      <c r="G83" s="3"/>
      <c r="H83" s="3"/>
      <c r="I83" s="3"/>
      <c r="J83" s="3"/>
      <c r="K83" s="3"/>
      <c r="L83" s="3"/>
      <c r="M83" s="3">
        <f t="shared" si="2"/>
        <v>0</v>
      </c>
      <c r="N83" s="3"/>
      <c r="O83" s="3"/>
      <c r="P83" s="1"/>
      <c r="Q83" s="3"/>
      <c r="R83" s="3"/>
      <c r="S83" s="3"/>
      <c r="T83" s="3"/>
      <c r="U83" s="3"/>
      <c r="V83" s="3"/>
      <c r="W83" s="3"/>
      <c r="X83" s="3"/>
      <c r="Y83" s="3"/>
      <c r="Z83" s="27"/>
      <c r="AA83" s="3"/>
      <c r="AB83" s="3"/>
      <c r="AC83" s="3">
        <f t="shared" si="10"/>
        <v>0</v>
      </c>
      <c r="AD83" s="3"/>
      <c r="AE83" s="3">
        <v>0</v>
      </c>
      <c r="AF83" s="3"/>
      <c r="AG83" s="3">
        <f t="shared" si="9"/>
        <v>0</v>
      </c>
    </row>
    <row r="84" spans="1:33">
      <c r="A84" s="16" t="s">
        <v>173</v>
      </c>
      <c r="B84" s="16"/>
      <c r="C84" s="16" t="s">
        <v>174</v>
      </c>
      <c r="E84" s="16">
        <v>46839</v>
      </c>
      <c r="G84" s="3">
        <v>5331034</v>
      </c>
      <c r="H84" s="3"/>
      <c r="I84" s="3">
        <v>753399</v>
      </c>
      <c r="J84" s="3"/>
      <c r="K84" s="3">
        <v>0</v>
      </c>
      <c r="L84" s="3"/>
      <c r="M84" s="3">
        <f t="shared" si="2"/>
        <v>6084433</v>
      </c>
      <c r="N84" s="3"/>
      <c r="O84" s="3">
        <v>0</v>
      </c>
      <c r="P84" s="1"/>
      <c r="Q84" s="3">
        <v>587694</v>
      </c>
      <c r="R84" s="3"/>
      <c r="S84" s="3">
        <v>2819</v>
      </c>
      <c r="T84" s="3"/>
      <c r="U84" s="3">
        <v>0</v>
      </c>
      <c r="V84" s="3"/>
      <c r="W84" s="3">
        <v>0</v>
      </c>
      <c r="X84" s="3"/>
      <c r="Y84" s="3">
        <f>9010+1835321</f>
        <v>1844331</v>
      </c>
      <c r="Z84" s="27"/>
      <c r="AA84" s="3">
        <v>0</v>
      </c>
      <c r="AB84" s="3"/>
      <c r="AC84" s="3">
        <f t="shared" si="10"/>
        <v>2434844</v>
      </c>
      <c r="AD84" s="3"/>
      <c r="AE84" s="3">
        <v>0</v>
      </c>
      <c r="AF84" s="3"/>
      <c r="AG84" s="3">
        <f t="shared" si="9"/>
        <v>8519277</v>
      </c>
    </row>
    <row r="85" spans="1:33">
      <c r="A85" s="3" t="s">
        <v>353</v>
      </c>
      <c r="B85" s="16"/>
      <c r="C85" s="16" t="s">
        <v>175</v>
      </c>
      <c r="E85" s="16">
        <v>46938</v>
      </c>
      <c r="G85" s="3">
        <v>42668929</v>
      </c>
      <c r="H85" s="3"/>
      <c r="I85" s="3">
        <v>9611920</v>
      </c>
      <c r="J85" s="3"/>
      <c r="K85" s="3">
        <v>0</v>
      </c>
      <c r="L85" s="3"/>
      <c r="M85" s="3">
        <f t="shared" si="2"/>
        <v>52280849</v>
      </c>
      <c r="N85" s="3"/>
      <c r="O85" s="3">
        <v>0</v>
      </c>
      <c r="P85" s="1"/>
      <c r="Q85" s="3">
        <v>5536482</v>
      </c>
      <c r="R85" s="3"/>
      <c r="S85" s="3">
        <v>105438</v>
      </c>
      <c r="T85" s="3"/>
      <c r="U85" s="3">
        <v>0</v>
      </c>
      <c r="V85" s="3"/>
      <c r="W85" s="3">
        <v>0</v>
      </c>
      <c r="X85" s="3"/>
      <c r="Y85" s="3">
        <v>379741</v>
      </c>
      <c r="Z85" s="27"/>
      <c r="AA85" s="3">
        <v>0</v>
      </c>
      <c r="AB85" s="3"/>
      <c r="AC85" s="3">
        <f t="shared" si="10"/>
        <v>6021661</v>
      </c>
      <c r="AD85" s="3"/>
      <c r="AE85" s="3">
        <v>0</v>
      </c>
      <c r="AF85" s="3"/>
      <c r="AG85" s="3">
        <f>+AC85+M85+AE85</f>
        <v>58302510</v>
      </c>
    </row>
    <row r="86" spans="1:33">
      <c r="A86" s="16" t="s">
        <v>177</v>
      </c>
      <c r="B86" s="16"/>
      <c r="C86" s="16" t="s">
        <v>178</v>
      </c>
      <c r="E86" s="16">
        <v>125682</v>
      </c>
      <c r="G86" s="3">
        <v>1665141</v>
      </c>
      <c r="H86" s="3"/>
      <c r="I86" s="3">
        <v>2305008</v>
      </c>
      <c r="J86" s="3"/>
      <c r="K86" s="3">
        <v>0</v>
      </c>
      <c r="L86" s="3"/>
      <c r="M86" s="3">
        <f t="shared" si="2"/>
        <v>3970149</v>
      </c>
      <c r="N86" s="3"/>
      <c r="O86" s="3">
        <v>0</v>
      </c>
      <c r="P86" s="1"/>
      <c r="Q86" s="3">
        <v>208575</v>
      </c>
      <c r="R86" s="3"/>
      <c r="S86" s="3">
        <v>40517</v>
      </c>
      <c r="T86" s="3"/>
      <c r="U86" s="3">
        <v>0</v>
      </c>
      <c r="V86" s="3"/>
      <c r="W86" s="3">
        <v>0</v>
      </c>
      <c r="X86" s="3"/>
      <c r="Y86" s="3">
        <v>9432</v>
      </c>
      <c r="Z86" s="27"/>
      <c r="AA86" s="3">
        <v>0</v>
      </c>
      <c r="AB86" s="3"/>
      <c r="AC86" s="3">
        <f t="shared" si="10"/>
        <v>258524</v>
      </c>
      <c r="AD86" s="3"/>
      <c r="AE86" s="3">
        <v>0</v>
      </c>
      <c r="AF86" s="3"/>
      <c r="AG86" s="3">
        <f t="shared" si="9"/>
        <v>4228673</v>
      </c>
    </row>
    <row r="87" spans="1:33">
      <c r="A87" s="35" t="s">
        <v>376</v>
      </c>
      <c r="B87" s="16"/>
      <c r="C87" s="16" t="s">
        <v>179</v>
      </c>
      <c r="E87" s="16">
        <v>47159</v>
      </c>
      <c r="G87" s="3">
        <v>9730781</v>
      </c>
      <c r="H87" s="3"/>
      <c r="I87" s="3">
        <v>235006</v>
      </c>
      <c r="J87" s="3"/>
      <c r="K87" s="3">
        <v>0</v>
      </c>
      <c r="L87" s="3"/>
      <c r="M87" s="3">
        <f t="shared" si="2"/>
        <v>9965787</v>
      </c>
      <c r="N87" s="3"/>
      <c r="O87" s="3">
        <v>0</v>
      </c>
      <c r="P87" s="1"/>
      <c r="Q87" s="3">
        <v>839465</v>
      </c>
      <c r="R87" s="3"/>
      <c r="S87" s="3">
        <v>3342</v>
      </c>
      <c r="T87" s="3"/>
      <c r="U87" s="3">
        <v>0</v>
      </c>
      <c r="V87" s="3"/>
      <c r="W87" s="3">
        <v>0</v>
      </c>
      <c r="X87" s="3"/>
      <c r="Y87" s="3">
        <v>28640</v>
      </c>
      <c r="Z87" s="27"/>
      <c r="AA87" s="3">
        <v>0</v>
      </c>
      <c r="AB87" s="3"/>
      <c r="AC87" s="3">
        <f t="shared" si="10"/>
        <v>871447</v>
      </c>
      <c r="AD87" s="3"/>
      <c r="AE87" s="3">
        <v>0</v>
      </c>
      <c r="AF87" s="3"/>
      <c r="AG87" s="3">
        <f t="shared" si="9"/>
        <v>10837234</v>
      </c>
    </row>
    <row r="88" spans="1:33">
      <c r="A88" s="16" t="s">
        <v>377</v>
      </c>
      <c r="B88" s="16"/>
      <c r="C88" s="16" t="s">
        <v>180</v>
      </c>
      <c r="E88" s="16">
        <v>47233</v>
      </c>
      <c r="G88" s="3">
        <v>10806664</v>
      </c>
      <c r="H88" s="3"/>
      <c r="I88" s="3">
        <v>1086440</v>
      </c>
      <c r="J88" s="3"/>
      <c r="K88" s="3">
        <v>0</v>
      </c>
      <c r="L88" s="3"/>
      <c r="M88" s="3">
        <f t="shared" ref="M88:M98" si="12">SUM(G88:L88)</f>
        <v>11893104</v>
      </c>
      <c r="N88" s="3"/>
      <c r="O88" s="3">
        <v>0</v>
      </c>
      <c r="P88" s="1"/>
      <c r="Q88" s="3">
        <v>1354506</v>
      </c>
      <c r="R88" s="3"/>
      <c r="S88" s="3">
        <v>12121</v>
      </c>
      <c r="T88" s="3"/>
      <c r="U88" s="3">
        <v>0</v>
      </c>
      <c r="V88" s="3"/>
      <c r="W88" s="3">
        <v>0</v>
      </c>
      <c r="X88" s="3"/>
      <c r="Y88" s="3">
        <v>316372</v>
      </c>
      <c r="Z88" s="27"/>
      <c r="AA88" s="3">
        <v>0</v>
      </c>
      <c r="AB88" s="3"/>
      <c r="AC88" s="3">
        <f t="shared" si="10"/>
        <v>1682999</v>
      </c>
      <c r="AD88" s="3"/>
      <c r="AE88" s="3">
        <v>0</v>
      </c>
      <c r="AF88" s="3"/>
      <c r="AG88" s="3">
        <f t="shared" si="9"/>
        <v>13576103</v>
      </c>
    </row>
    <row r="89" spans="1:33">
      <c r="A89" s="16" t="s">
        <v>378</v>
      </c>
      <c r="B89" s="16"/>
      <c r="C89" s="16" t="s">
        <v>181</v>
      </c>
      <c r="E89" s="16">
        <v>47324</v>
      </c>
      <c r="G89" s="3">
        <v>27368112</v>
      </c>
      <c r="H89" s="3"/>
      <c r="I89" s="3">
        <v>9080299</v>
      </c>
      <c r="J89" s="3"/>
      <c r="K89" s="3">
        <v>0</v>
      </c>
      <c r="L89" s="3"/>
      <c r="M89" s="3">
        <f t="shared" si="12"/>
        <v>36448411</v>
      </c>
      <c r="N89" s="3"/>
      <c r="O89" s="3">
        <v>0</v>
      </c>
      <c r="P89" s="1"/>
      <c r="Q89" s="3">
        <v>3810801</v>
      </c>
      <c r="R89" s="3"/>
      <c r="S89" s="3">
        <v>110591</v>
      </c>
      <c r="T89" s="3"/>
      <c r="U89" s="3">
        <v>0</v>
      </c>
      <c r="V89" s="3"/>
      <c r="W89" s="3">
        <v>1200</v>
      </c>
      <c r="X89" s="3"/>
      <c r="Y89" s="3">
        <v>169146</v>
      </c>
      <c r="Z89" s="27"/>
      <c r="AA89" s="3">
        <v>0</v>
      </c>
      <c r="AB89" s="3"/>
      <c r="AC89" s="3">
        <f t="shared" si="10"/>
        <v>4091738</v>
      </c>
      <c r="AD89" s="3"/>
      <c r="AE89" s="3">
        <v>0</v>
      </c>
      <c r="AF89" s="3"/>
      <c r="AG89" s="3">
        <f t="shared" si="9"/>
        <v>40540149</v>
      </c>
    </row>
    <row r="90" spans="1:33">
      <c r="A90" s="16" t="s">
        <v>379</v>
      </c>
      <c r="B90" s="16"/>
      <c r="C90" s="16" t="s">
        <v>182</v>
      </c>
      <c r="E90" s="16">
        <v>47407</v>
      </c>
      <c r="G90" s="3">
        <v>4318352</v>
      </c>
      <c r="H90" s="3"/>
      <c r="I90" s="3">
        <v>585596</v>
      </c>
      <c r="J90" s="3"/>
      <c r="K90" s="3">
        <v>0</v>
      </c>
      <c r="L90" s="3"/>
      <c r="M90" s="3">
        <f t="shared" si="12"/>
        <v>4903948</v>
      </c>
      <c r="N90" s="3"/>
      <c r="O90" s="3">
        <v>0</v>
      </c>
      <c r="P90" s="1"/>
      <c r="Q90" s="3">
        <v>355424</v>
      </c>
      <c r="R90" s="3"/>
      <c r="S90" s="3">
        <v>3773</v>
      </c>
      <c r="T90" s="3"/>
      <c r="U90" s="3">
        <v>0</v>
      </c>
      <c r="V90" s="3"/>
      <c r="W90" s="3">
        <v>0</v>
      </c>
      <c r="X90" s="3"/>
      <c r="Y90" s="3">
        <v>45733</v>
      </c>
      <c r="Z90" s="27"/>
      <c r="AA90" s="3">
        <v>0</v>
      </c>
      <c r="AB90" s="3"/>
      <c r="AC90" s="3">
        <f t="shared" si="10"/>
        <v>404930</v>
      </c>
      <c r="AD90" s="3"/>
      <c r="AE90" s="3">
        <v>0</v>
      </c>
      <c r="AF90" s="3"/>
      <c r="AG90" s="3">
        <f t="shared" si="9"/>
        <v>5308878</v>
      </c>
    </row>
    <row r="91" spans="1:33">
      <c r="A91" s="16" t="s">
        <v>380</v>
      </c>
      <c r="B91" s="16"/>
      <c r="C91" s="16" t="s">
        <v>21</v>
      </c>
      <c r="E91" s="16">
        <v>47480</v>
      </c>
      <c r="G91" s="3">
        <v>1646534</v>
      </c>
      <c r="H91" s="3"/>
      <c r="I91" s="3">
        <v>721382</v>
      </c>
      <c r="J91" s="3"/>
      <c r="K91" s="3">
        <v>0</v>
      </c>
      <c r="L91" s="3"/>
      <c r="M91" s="3">
        <f t="shared" si="12"/>
        <v>2367916</v>
      </c>
      <c r="N91" s="3"/>
      <c r="O91" s="3">
        <v>0</v>
      </c>
      <c r="P91" s="1"/>
      <c r="Q91" s="3">
        <v>503182</v>
      </c>
      <c r="R91" s="3"/>
      <c r="S91" s="3">
        <v>1290</v>
      </c>
      <c r="T91" s="3"/>
      <c r="U91" s="3">
        <v>0</v>
      </c>
      <c r="V91" s="3"/>
      <c r="W91" s="3">
        <v>0</v>
      </c>
      <c r="X91" s="3"/>
      <c r="Y91" s="3">
        <v>74476</v>
      </c>
      <c r="Z91" s="27"/>
      <c r="AA91" s="3">
        <v>0</v>
      </c>
      <c r="AB91" s="3"/>
      <c r="AC91" s="3">
        <f t="shared" si="10"/>
        <v>578948</v>
      </c>
      <c r="AD91" s="3"/>
      <c r="AE91" s="3">
        <v>0</v>
      </c>
      <c r="AF91" s="3"/>
      <c r="AG91" s="3">
        <f t="shared" si="9"/>
        <v>2946864</v>
      </c>
    </row>
    <row r="92" spans="1:33">
      <c r="A92" s="16" t="s">
        <v>381</v>
      </c>
      <c r="B92" s="16"/>
      <c r="C92" s="16" t="s">
        <v>183</v>
      </c>
      <c r="E92" s="16">
        <v>47779</v>
      </c>
      <c r="G92" s="3">
        <v>5835688</v>
      </c>
      <c r="H92" s="3"/>
      <c r="I92" s="3">
        <v>216453</v>
      </c>
      <c r="J92" s="3"/>
      <c r="K92" s="3">
        <v>0</v>
      </c>
      <c r="L92" s="3"/>
      <c r="M92" s="3">
        <f t="shared" si="12"/>
        <v>6052141</v>
      </c>
      <c r="N92" s="3"/>
      <c r="O92" s="3">
        <v>0</v>
      </c>
      <c r="P92" s="1"/>
      <c r="Q92" s="3">
        <v>700264</v>
      </c>
      <c r="R92" s="3"/>
      <c r="S92" s="3">
        <v>31590</v>
      </c>
      <c r="T92" s="3"/>
      <c r="U92" s="3">
        <v>0</v>
      </c>
      <c r="V92" s="3"/>
      <c r="W92" s="3">
        <v>0</v>
      </c>
      <c r="X92" s="3"/>
      <c r="Y92" s="3">
        <v>0</v>
      </c>
      <c r="Z92" s="27"/>
      <c r="AA92" s="3">
        <v>0</v>
      </c>
      <c r="AB92" s="3"/>
      <c r="AC92" s="3">
        <f t="shared" si="10"/>
        <v>731854</v>
      </c>
      <c r="AD92" s="3"/>
      <c r="AE92" s="3">
        <v>0</v>
      </c>
      <c r="AF92" s="3"/>
      <c r="AG92" s="3">
        <f t="shared" si="9"/>
        <v>6783995</v>
      </c>
    </row>
    <row r="93" spans="1:33">
      <c r="A93" s="16" t="s">
        <v>382</v>
      </c>
      <c r="B93" s="16"/>
      <c r="C93" s="16" t="s">
        <v>184</v>
      </c>
      <c r="E93" s="16">
        <v>47811</v>
      </c>
      <c r="G93" s="3">
        <v>4554330</v>
      </c>
      <c r="H93" s="3"/>
      <c r="I93" s="3">
        <v>1012164</v>
      </c>
      <c r="J93" s="3"/>
      <c r="K93" s="3">
        <v>0</v>
      </c>
      <c r="L93" s="3"/>
      <c r="M93" s="3">
        <f t="shared" si="12"/>
        <v>5566494</v>
      </c>
      <c r="N93" s="3"/>
      <c r="O93" s="3">
        <v>0</v>
      </c>
      <c r="P93" s="1"/>
      <c r="Q93" s="3">
        <v>280629</v>
      </c>
      <c r="R93" s="3"/>
      <c r="S93" s="3">
        <v>3198</v>
      </c>
      <c r="T93" s="3"/>
      <c r="U93" s="3">
        <v>0</v>
      </c>
      <c r="V93" s="3"/>
      <c r="W93" s="3">
        <v>0</v>
      </c>
      <c r="X93" s="3"/>
      <c r="Y93" s="3">
        <v>12139</v>
      </c>
      <c r="Z93" s="27"/>
      <c r="AA93" s="3">
        <v>0</v>
      </c>
      <c r="AB93" s="3"/>
      <c r="AC93" s="3">
        <f t="shared" si="10"/>
        <v>295966</v>
      </c>
      <c r="AD93" s="3"/>
      <c r="AE93" s="3">
        <v>0</v>
      </c>
      <c r="AF93" s="3"/>
      <c r="AG93" s="3">
        <f t="shared" si="9"/>
        <v>5862460</v>
      </c>
    </row>
    <row r="94" spans="1:33">
      <c r="A94" s="16" t="s">
        <v>383</v>
      </c>
      <c r="B94" s="16"/>
      <c r="C94" s="16" t="s">
        <v>154</v>
      </c>
      <c r="E94" s="16">
        <v>47860</v>
      </c>
      <c r="G94" s="3">
        <v>8323403</v>
      </c>
      <c r="H94" s="3"/>
      <c r="I94" s="3">
        <v>3154783</v>
      </c>
      <c r="J94" s="3"/>
      <c r="K94" s="3">
        <v>0</v>
      </c>
      <c r="L94" s="3"/>
      <c r="M94" s="3">
        <f t="shared" si="12"/>
        <v>11478186</v>
      </c>
      <c r="N94" s="3"/>
      <c r="O94" s="3">
        <v>6695821</v>
      </c>
      <c r="P94" s="1"/>
      <c r="Q94" s="3">
        <v>2079830</v>
      </c>
      <c r="R94" s="3"/>
      <c r="S94" s="3">
        <v>691</v>
      </c>
      <c r="T94" s="3"/>
      <c r="U94" s="3">
        <v>0</v>
      </c>
      <c r="V94" s="3"/>
      <c r="W94" s="3">
        <v>18673</v>
      </c>
      <c r="X94" s="3"/>
      <c r="Y94" s="3">
        <v>87157</v>
      </c>
      <c r="Z94" s="27"/>
      <c r="AA94" s="3">
        <v>0</v>
      </c>
      <c r="AB94" s="3"/>
      <c r="AC94" s="3">
        <f t="shared" si="10"/>
        <v>8882172</v>
      </c>
      <c r="AD94" s="3"/>
      <c r="AE94" s="3">
        <v>0</v>
      </c>
      <c r="AF94" s="3"/>
      <c r="AG94" s="3">
        <f t="shared" si="9"/>
        <v>20360358</v>
      </c>
    </row>
    <row r="95" spans="1:33">
      <c r="A95" s="16" t="s">
        <v>368</v>
      </c>
      <c r="B95" s="16"/>
      <c r="C95" s="16" t="s">
        <v>185</v>
      </c>
      <c r="E95" s="16">
        <v>47910</v>
      </c>
      <c r="G95" s="3">
        <v>1234875</v>
      </c>
      <c r="H95" s="3"/>
      <c r="I95" s="3">
        <v>133358</v>
      </c>
      <c r="J95" s="3"/>
      <c r="K95" s="3">
        <v>0</v>
      </c>
      <c r="L95" s="3"/>
      <c r="M95" s="3">
        <f t="shared" si="12"/>
        <v>1368233</v>
      </c>
      <c r="N95" s="3"/>
      <c r="O95" s="3">
        <v>0</v>
      </c>
      <c r="P95" s="1"/>
      <c r="Q95" s="3">
        <v>258563</v>
      </c>
      <c r="R95" s="3"/>
      <c r="S95" s="3">
        <v>262</v>
      </c>
      <c r="T95" s="3"/>
      <c r="U95" s="3">
        <v>0</v>
      </c>
      <c r="V95" s="3"/>
      <c r="W95" s="3">
        <v>0</v>
      </c>
      <c r="X95" s="3"/>
      <c r="Y95" s="3">
        <v>55856</v>
      </c>
      <c r="Z95" s="27"/>
      <c r="AA95" s="3">
        <v>0</v>
      </c>
      <c r="AB95" s="3"/>
      <c r="AC95" s="3">
        <f t="shared" si="10"/>
        <v>314681</v>
      </c>
      <c r="AD95" s="3"/>
      <c r="AE95" s="3">
        <v>0</v>
      </c>
      <c r="AF95" s="3"/>
      <c r="AG95" s="3">
        <f t="shared" si="9"/>
        <v>1682914</v>
      </c>
    </row>
    <row r="96" spans="1:33">
      <c r="A96" s="3" t="s">
        <v>369</v>
      </c>
      <c r="B96" s="3"/>
      <c r="C96" s="3" t="s">
        <v>187</v>
      </c>
      <c r="E96" s="16"/>
      <c r="G96" s="3">
        <v>8310369</v>
      </c>
      <c r="H96" s="3"/>
      <c r="I96" s="3">
        <v>1980741</v>
      </c>
      <c r="J96" s="3"/>
      <c r="K96" s="3">
        <v>0</v>
      </c>
      <c r="L96" s="3"/>
      <c r="M96" s="3">
        <f>SUM(G96:L96)</f>
        <v>10291110</v>
      </c>
      <c r="N96" s="3"/>
      <c r="O96" s="3">
        <v>0</v>
      </c>
      <c r="P96" s="1"/>
      <c r="Q96" s="3">
        <v>549251</v>
      </c>
      <c r="R96" s="3"/>
      <c r="S96" s="3">
        <v>3339</v>
      </c>
      <c r="T96" s="3"/>
      <c r="U96" s="3">
        <v>0</v>
      </c>
      <c r="V96" s="3"/>
      <c r="W96" s="3">
        <v>0</v>
      </c>
      <c r="X96" s="3"/>
      <c r="Y96" s="3">
        <v>9505</v>
      </c>
      <c r="Z96" s="27"/>
      <c r="AA96" s="3">
        <v>0</v>
      </c>
      <c r="AB96" s="3"/>
      <c r="AC96" s="3">
        <f t="shared" si="10"/>
        <v>562095</v>
      </c>
      <c r="AD96" s="3"/>
      <c r="AE96" s="3">
        <v>0</v>
      </c>
      <c r="AF96" s="3"/>
      <c r="AG96" s="3">
        <f t="shared" si="9"/>
        <v>10853205</v>
      </c>
    </row>
    <row r="97" spans="1:33">
      <c r="A97" s="16" t="s">
        <v>370</v>
      </c>
      <c r="B97" s="16"/>
      <c r="C97" s="16" t="s">
        <v>188</v>
      </c>
      <c r="E97" s="16">
        <v>48058</v>
      </c>
      <c r="G97" s="3">
        <v>3240922</v>
      </c>
      <c r="H97" s="3"/>
      <c r="I97" s="3">
        <v>12486</v>
      </c>
      <c r="J97" s="3"/>
      <c r="K97" s="3">
        <v>0</v>
      </c>
      <c r="L97" s="3"/>
      <c r="M97" s="3">
        <f t="shared" si="12"/>
        <v>3253408</v>
      </c>
      <c r="N97" s="3"/>
      <c r="O97" s="3">
        <v>0</v>
      </c>
      <c r="P97" s="1"/>
      <c r="Q97" s="3">
        <v>292727</v>
      </c>
      <c r="R97" s="3"/>
      <c r="S97" s="3">
        <v>575</v>
      </c>
      <c r="T97" s="3"/>
      <c r="U97" s="3">
        <v>0</v>
      </c>
      <c r="V97" s="3"/>
      <c r="W97" s="3">
        <v>19453</v>
      </c>
      <c r="X97" s="3"/>
      <c r="Y97" s="3">
        <v>47706</v>
      </c>
      <c r="Z97" s="27"/>
      <c r="AA97" s="3">
        <v>0</v>
      </c>
      <c r="AB97" s="3"/>
      <c r="AC97" s="3">
        <f t="shared" si="10"/>
        <v>360461</v>
      </c>
      <c r="AD97" s="3"/>
      <c r="AE97" s="3">
        <v>0</v>
      </c>
      <c r="AF97" s="3"/>
      <c r="AG97" s="3">
        <f t="shared" si="9"/>
        <v>3613869</v>
      </c>
    </row>
    <row r="98" spans="1:33">
      <c r="A98" s="16" t="s">
        <v>371</v>
      </c>
      <c r="B98" s="16"/>
      <c r="C98" s="16" t="s">
        <v>150</v>
      </c>
      <c r="E98" s="16">
        <v>48108</v>
      </c>
      <c r="G98" s="3">
        <v>5931854</v>
      </c>
      <c r="H98" s="3"/>
      <c r="I98" s="3">
        <v>2209851</v>
      </c>
      <c r="J98" s="3"/>
      <c r="K98" s="3">
        <v>0</v>
      </c>
      <c r="L98" s="3"/>
      <c r="M98" s="3">
        <f t="shared" si="12"/>
        <v>8141705</v>
      </c>
      <c r="N98" s="3"/>
      <c r="O98" s="3">
        <v>0</v>
      </c>
      <c r="P98" s="1"/>
      <c r="Q98" s="3">
        <v>2478598</v>
      </c>
      <c r="R98" s="3"/>
      <c r="S98" s="3">
        <v>88208</v>
      </c>
      <c r="T98" s="3"/>
      <c r="U98" s="3">
        <v>0</v>
      </c>
      <c r="V98" s="3"/>
      <c r="W98" s="3">
        <v>0</v>
      </c>
      <c r="X98" s="3"/>
      <c r="Y98" s="3">
        <v>29922</v>
      </c>
      <c r="Z98" s="27"/>
      <c r="AA98" s="3">
        <v>0</v>
      </c>
      <c r="AB98" s="3"/>
      <c r="AC98" s="3">
        <f t="shared" si="10"/>
        <v>2596728</v>
      </c>
      <c r="AD98" s="3"/>
      <c r="AE98" s="3">
        <v>0</v>
      </c>
      <c r="AF98" s="3"/>
      <c r="AG98" s="3">
        <f t="shared" si="9"/>
        <v>10738433</v>
      </c>
    </row>
    <row r="99" spans="1:33">
      <c r="A99" s="16" t="s">
        <v>372</v>
      </c>
      <c r="B99" s="16"/>
      <c r="C99" s="16" t="s">
        <v>189</v>
      </c>
      <c r="E99" s="16">
        <v>48199</v>
      </c>
      <c r="G99" s="3">
        <v>18057782</v>
      </c>
      <c r="H99" s="3"/>
      <c r="I99" s="3">
        <v>5026011</v>
      </c>
      <c r="J99" s="3"/>
      <c r="K99" s="3">
        <v>0</v>
      </c>
      <c r="L99" s="3"/>
      <c r="M99" s="3">
        <f t="shared" ref="M99:M111" si="13">SUM(G99:L99)</f>
        <v>23083793</v>
      </c>
      <c r="N99" s="3"/>
      <c r="O99" s="3">
        <v>0</v>
      </c>
      <c r="P99" s="1"/>
      <c r="Q99" s="3">
        <v>2780208</v>
      </c>
      <c r="R99" s="3"/>
      <c r="S99" s="3">
        <v>72187</v>
      </c>
      <c r="T99" s="3"/>
      <c r="U99" s="3">
        <v>0</v>
      </c>
      <c r="V99" s="3"/>
      <c r="W99" s="3">
        <v>0</v>
      </c>
      <c r="X99" s="3"/>
      <c r="Y99" s="3">
        <v>255296</v>
      </c>
      <c r="Z99" s="27"/>
      <c r="AA99" s="3">
        <v>0</v>
      </c>
      <c r="AB99" s="3"/>
      <c r="AC99" s="3">
        <f t="shared" si="10"/>
        <v>3107691</v>
      </c>
      <c r="AD99" s="3"/>
      <c r="AE99" s="3">
        <v>0</v>
      </c>
      <c r="AF99" s="3"/>
      <c r="AG99" s="3">
        <f t="shared" si="9"/>
        <v>26191484</v>
      </c>
    </row>
    <row r="100" spans="1:33">
      <c r="A100" s="16" t="s">
        <v>159</v>
      </c>
      <c r="B100" s="16"/>
      <c r="C100" s="16" t="s">
        <v>160</v>
      </c>
      <c r="E100" s="16">
        <v>137364</v>
      </c>
      <c r="G100" s="3">
        <v>8959818</v>
      </c>
      <c r="H100" s="3"/>
      <c r="I100" s="3">
        <v>634802</v>
      </c>
      <c r="J100" s="3"/>
      <c r="K100" s="3">
        <v>0</v>
      </c>
      <c r="L100" s="3"/>
      <c r="M100" s="3">
        <f t="shared" ref="M100:M107" si="14">SUM(G100:L100)</f>
        <v>9594620</v>
      </c>
      <c r="N100" s="3"/>
      <c r="O100" s="3">
        <v>0</v>
      </c>
      <c r="P100" s="1"/>
      <c r="Q100" s="3">
        <v>1278662</v>
      </c>
      <c r="R100" s="3"/>
      <c r="S100" s="3">
        <v>23627</v>
      </c>
      <c r="T100" s="3"/>
      <c r="U100" s="3">
        <v>0</v>
      </c>
      <c r="V100" s="3"/>
      <c r="W100" s="3">
        <v>0</v>
      </c>
      <c r="X100" s="3"/>
      <c r="Y100" s="3">
        <v>163606</v>
      </c>
      <c r="Z100" s="27"/>
      <c r="AA100" s="3">
        <v>0</v>
      </c>
      <c r="AB100" s="3"/>
      <c r="AC100" s="3">
        <f t="shared" si="10"/>
        <v>1465895</v>
      </c>
      <c r="AD100" s="3"/>
      <c r="AE100" s="3">
        <v>0</v>
      </c>
      <c r="AF100" s="3"/>
      <c r="AG100" s="3">
        <f t="shared" si="9"/>
        <v>11060515</v>
      </c>
    </row>
    <row r="101" spans="1:33">
      <c r="A101" s="16" t="s">
        <v>190</v>
      </c>
      <c r="B101" s="16"/>
      <c r="C101" s="16" t="s">
        <v>191</v>
      </c>
      <c r="E101" s="16">
        <v>48280</v>
      </c>
      <c r="G101" s="3">
        <v>14443519</v>
      </c>
      <c r="H101" s="3"/>
      <c r="I101" s="3">
        <v>4244894</v>
      </c>
      <c r="J101" s="3"/>
      <c r="K101" s="3">
        <v>0</v>
      </c>
      <c r="L101" s="3"/>
      <c r="M101" s="3">
        <f t="shared" si="14"/>
        <v>18688413</v>
      </c>
      <c r="N101" s="3"/>
      <c r="O101" s="3">
        <v>0</v>
      </c>
      <c r="P101" s="1"/>
      <c r="Q101" s="3">
        <v>1871694</v>
      </c>
      <c r="R101" s="3"/>
      <c r="S101" s="3">
        <v>106499</v>
      </c>
      <c r="T101" s="3"/>
      <c r="U101" s="3">
        <v>0</v>
      </c>
      <c r="V101" s="3"/>
      <c r="W101" s="3">
        <v>0</v>
      </c>
      <c r="X101" s="3"/>
      <c r="Y101" s="3">
        <v>47906</v>
      </c>
      <c r="Z101" s="27"/>
      <c r="AA101" s="3">
        <v>0</v>
      </c>
      <c r="AB101" s="3"/>
      <c r="AC101" s="3">
        <f t="shared" si="10"/>
        <v>2026099</v>
      </c>
      <c r="AD101" s="3"/>
      <c r="AE101" s="3">
        <v>0</v>
      </c>
      <c r="AF101" s="3"/>
      <c r="AG101" s="3">
        <f t="shared" si="9"/>
        <v>20714512</v>
      </c>
    </row>
    <row r="102" spans="1:33">
      <c r="A102" s="16" t="s">
        <v>192</v>
      </c>
      <c r="B102" s="16"/>
      <c r="C102" s="16" t="s">
        <v>193</v>
      </c>
      <c r="E102" s="16">
        <v>48454</v>
      </c>
      <c r="G102" s="3">
        <v>4093769</v>
      </c>
      <c r="H102" s="3"/>
      <c r="I102" s="3">
        <v>122402</v>
      </c>
      <c r="J102" s="3"/>
      <c r="K102" s="3">
        <v>0</v>
      </c>
      <c r="L102" s="3"/>
      <c r="M102" s="3">
        <f t="shared" si="14"/>
        <v>4216171</v>
      </c>
      <c r="N102" s="3"/>
      <c r="O102" s="3">
        <v>0</v>
      </c>
      <c r="P102" s="1"/>
      <c r="Q102" s="3">
        <v>1558452</v>
      </c>
      <c r="R102" s="3"/>
      <c r="S102" s="3">
        <v>28332</v>
      </c>
      <c r="T102" s="3"/>
      <c r="U102" s="3">
        <v>0</v>
      </c>
      <c r="V102" s="3"/>
      <c r="W102" s="3">
        <v>0</v>
      </c>
      <c r="X102" s="3"/>
      <c r="Y102" s="3">
        <v>0</v>
      </c>
      <c r="Z102" s="27"/>
      <c r="AA102" s="3">
        <v>0</v>
      </c>
      <c r="AB102" s="3"/>
      <c r="AC102" s="3">
        <f t="shared" si="10"/>
        <v>1586784</v>
      </c>
      <c r="AD102" s="3"/>
      <c r="AE102" s="3">
        <v>0</v>
      </c>
      <c r="AF102" s="3"/>
      <c r="AG102" s="3">
        <f t="shared" si="9"/>
        <v>5802955</v>
      </c>
    </row>
    <row r="103" spans="1:33" hidden="1">
      <c r="A103" s="3" t="s">
        <v>348</v>
      </c>
      <c r="B103" s="16"/>
      <c r="C103" s="16" t="s">
        <v>195</v>
      </c>
      <c r="E103" s="16">
        <v>48546</v>
      </c>
      <c r="G103" s="3"/>
      <c r="H103" s="3"/>
      <c r="I103" s="3"/>
      <c r="J103" s="3"/>
      <c r="K103" s="3"/>
      <c r="L103" s="3"/>
      <c r="M103" s="3">
        <f t="shared" si="14"/>
        <v>0</v>
      </c>
      <c r="N103" s="3"/>
      <c r="O103" s="3"/>
      <c r="P103" s="1"/>
      <c r="Q103" s="3"/>
      <c r="R103" s="3"/>
      <c r="S103" s="3"/>
      <c r="T103" s="3"/>
      <c r="U103" s="3"/>
      <c r="V103" s="3"/>
      <c r="W103" s="3"/>
      <c r="X103" s="3"/>
      <c r="Y103" s="3"/>
      <c r="Z103" s="27"/>
      <c r="AA103" s="3"/>
      <c r="AB103" s="3"/>
      <c r="AC103" s="3">
        <f t="shared" si="10"/>
        <v>0</v>
      </c>
      <c r="AD103" s="3"/>
      <c r="AE103" s="3">
        <v>0</v>
      </c>
      <c r="AF103" s="3"/>
      <c r="AG103" s="3">
        <f t="shared" si="9"/>
        <v>0</v>
      </c>
    </row>
    <row r="104" spans="1:33">
      <c r="A104" s="16" t="s">
        <v>196</v>
      </c>
      <c r="B104" s="16"/>
      <c r="C104" s="16" t="s">
        <v>197</v>
      </c>
      <c r="E104" s="16">
        <v>48603</v>
      </c>
      <c r="G104" s="3">
        <v>10064281</v>
      </c>
      <c r="H104" s="3"/>
      <c r="I104" s="3">
        <v>848579</v>
      </c>
      <c r="J104" s="3"/>
      <c r="K104" s="3">
        <v>0</v>
      </c>
      <c r="L104" s="3"/>
      <c r="M104" s="3">
        <f t="shared" si="14"/>
        <v>10912860</v>
      </c>
      <c r="N104" s="3"/>
      <c r="O104" s="3">
        <v>0</v>
      </c>
      <c r="P104" s="1"/>
      <c r="Q104" s="3">
        <v>549793</v>
      </c>
      <c r="R104" s="3"/>
      <c r="S104" s="3">
        <v>8654</v>
      </c>
      <c r="T104" s="3"/>
      <c r="U104" s="3">
        <v>0</v>
      </c>
      <c r="V104" s="3"/>
      <c r="W104" s="3">
        <v>1250</v>
      </c>
      <c r="X104" s="3"/>
      <c r="Y104" s="3">
        <v>143096</v>
      </c>
      <c r="Z104" s="27"/>
      <c r="AA104" s="3">
        <v>0</v>
      </c>
      <c r="AB104" s="3"/>
      <c r="AC104" s="3">
        <f t="shared" si="10"/>
        <v>702793</v>
      </c>
      <c r="AD104" s="3"/>
      <c r="AE104" s="3">
        <v>0</v>
      </c>
      <c r="AF104" s="3"/>
      <c r="AG104" s="3">
        <f t="shared" si="9"/>
        <v>11615653</v>
      </c>
    </row>
    <row r="105" spans="1:33" hidden="1">
      <c r="A105" s="3" t="s">
        <v>347</v>
      </c>
      <c r="B105" s="3"/>
      <c r="C105" s="3" t="s">
        <v>212</v>
      </c>
      <c r="E105" s="16"/>
      <c r="G105" s="3"/>
      <c r="H105" s="3"/>
      <c r="I105" s="3"/>
      <c r="J105" s="3"/>
      <c r="K105" s="3"/>
      <c r="L105" s="3"/>
      <c r="M105" s="3">
        <f t="shared" si="14"/>
        <v>0</v>
      </c>
      <c r="N105" s="3"/>
      <c r="O105" s="3"/>
      <c r="P105" s="1"/>
      <c r="Q105" s="3"/>
      <c r="R105" s="3"/>
      <c r="S105" s="3"/>
      <c r="T105" s="3"/>
      <c r="U105" s="3"/>
      <c r="V105" s="3"/>
      <c r="W105" s="3"/>
      <c r="X105" s="3"/>
      <c r="Y105" s="3"/>
      <c r="Z105" s="27"/>
      <c r="AA105" s="3"/>
      <c r="AB105" s="3"/>
      <c r="AC105" s="3">
        <f t="shared" si="10"/>
        <v>0</v>
      </c>
      <c r="AD105" s="3"/>
      <c r="AE105" s="3">
        <v>0</v>
      </c>
      <c r="AF105" s="3"/>
      <c r="AG105" s="3">
        <f t="shared" si="9"/>
        <v>0</v>
      </c>
    </row>
    <row r="106" spans="1:33">
      <c r="A106" s="16" t="s">
        <v>198</v>
      </c>
      <c r="B106" s="16"/>
      <c r="C106" s="16" t="s">
        <v>199</v>
      </c>
      <c r="E106" s="16">
        <v>48660</v>
      </c>
      <c r="G106" s="3">
        <v>25209970</v>
      </c>
      <c r="H106" s="3"/>
      <c r="I106" s="3">
        <v>3647563</v>
      </c>
      <c r="J106" s="3"/>
      <c r="K106" s="3">
        <v>0</v>
      </c>
      <c r="L106" s="3"/>
      <c r="M106" s="3">
        <f t="shared" si="14"/>
        <v>28857533</v>
      </c>
      <c r="N106" s="3"/>
      <c r="O106" s="3">
        <v>0</v>
      </c>
      <c r="P106" s="1"/>
      <c r="Q106" s="3">
        <v>1687894</v>
      </c>
      <c r="R106" s="3"/>
      <c r="S106" s="3">
        <v>44190</v>
      </c>
      <c r="T106" s="3"/>
      <c r="U106" s="3">
        <v>0</v>
      </c>
      <c r="V106" s="3"/>
      <c r="W106" s="3">
        <v>5646</v>
      </c>
      <c r="X106" s="3"/>
      <c r="Y106" s="3">
        <v>24876</v>
      </c>
      <c r="Z106" s="27"/>
      <c r="AA106" s="3">
        <v>0</v>
      </c>
      <c r="AB106" s="3"/>
      <c r="AC106" s="3">
        <f t="shared" si="10"/>
        <v>1762606</v>
      </c>
      <c r="AD106" s="3"/>
      <c r="AE106" s="3">
        <v>0</v>
      </c>
      <c r="AF106" s="3"/>
      <c r="AG106" s="3">
        <f t="shared" si="9"/>
        <v>30620139</v>
      </c>
    </row>
    <row r="107" spans="1:33">
      <c r="A107" s="16" t="s">
        <v>200</v>
      </c>
      <c r="B107" s="16"/>
      <c r="C107" s="16" t="s">
        <v>201</v>
      </c>
      <c r="E107" s="16">
        <v>125252</v>
      </c>
      <c r="G107" s="3">
        <v>7142351</v>
      </c>
      <c r="H107" s="3"/>
      <c r="I107" s="3">
        <v>2118235</v>
      </c>
      <c r="J107" s="3"/>
      <c r="K107" s="3">
        <v>0</v>
      </c>
      <c r="L107" s="3"/>
      <c r="M107" s="3">
        <f t="shared" si="14"/>
        <v>9260586</v>
      </c>
      <c r="N107" s="3"/>
      <c r="O107" s="3">
        <v>0</v>
      </c>
      <c r="P107" s="1"/>
      <c r="Q107" s="3">
        <v>1242807</v>
      </c>
      <c r="R107" s="3"/>
      <c r="S107" s="3">
        <v>34521</v>
      </c>
      <c r="T107" s="3"/>
      <c r="U107" s="3">
        <v>0</v>
      </c>
      <c r="V107" s="3"/>
      <c r="W107" s="3">
        <v>0</v>
      </c>
      <c r="X107" s="3"/>
      <c r="Y107" s="3">
        <v>325629</v>
      </c>
      <c r="Z107" s="27"/>
      <c r="AA107" s="3">
        <v>0</v>
      </c>
      <c r="AB107" s="3"/>
      <c r="AC107" s="3">
        <f t="shared" si="10"/>
        <v>1602957</v>
      </c>
      <c r="AD107" s="3"/>
      <c r="AE107" s="3">
        <v>0</v>
      </c>
      <c r="AF107" s="3"/>
      <c r="AG107" s="3">
        <f t="shared" si="9"/>
        <v>10863543</v>
      </c>
    </row>
    <row r="108" spans="1:33">
      <c r="A108" s="16" t="s">
        <v>326</v>
      </c>
      <c r="B108" s="16"/>
      <c r="C108" s="16" t="s">
        <v>218</v>
      </c>
      <c r="E108" s="16">
        <v>123257</v>
      </c>
      <c r="G108" s="3">
        <v>12875804</v>
      </c>
      <c r="H108" s="3"/>
      <c r="I108" s="3">
        <v>1934745</v>
      </c>
      <c r="J108" s="3"/>
      <c r="K108" s="3">
        <v>0</v>
      </c>
      <c r="L108" s="3"/>
      <c r="M108" s="3">
        <f t="shared" si="13"/>
        <v>14810549</v>
      </c>
      <c r="N108" s="3"/>
      <c r="O108" s="3">
        <v>0</v>
      </c>
      <c r="P108" s="1"/>
      <c r="Q108" s="3">
        <v>3145738</v>
      </c>
      <c r="R108" s="3"/>
      <c r="S108" s="3">
        <v>4502</v>
      </c>
      <c r="T108" s="3"/>
      <c r="U108" s="3">
        <v>0</v>
      </c>
      <c r="V108" s="3"/>
      <c r="W108" s="3">
        <v>0</v>
      </c>
      <c r="X108" s="3"/>
      <c r="Y108" s="3">
        <v>308426</v>
      </c>
      <c r="Z108" s="27"/>
      <c r="AA108" s="3">
        <v>0</v>
      </c>
      <c r="AB108" s="3"/>
      <c r="AC108" s="3">
        <f t="shared" si="10"/>
        <v>3458666</v>
      </c>
      <c r="AD108" s="3"/>
      <c r="AE108" s="3">
        <f>791108-600391</f>
        <v>190717</v>
      </c>
      <c r="AF108" s="3"/>
      <c r="AG108" s="3">
        <f>+AC108+M108+AE108</f>
        <v>18459932</v>
      </c>
    </row>
    <row r="109" spans="1:33">
      <c r="A109" s="16" t="s">
        <v>373</v>
      </c>
      <c r="B109" s="16"/>
      <c r="C109" s="16" t="s">
        <v>172</v>
      </c>
      <c r="E109" s="16"/>
      <c r="G109" s="3">
        <v>17122898</v>
      </c>
      <c r="H109" s="3"/>
      <c r="I109" s="3">
        <v>671976</v>
      </c>
      <c r="J109" s="3"/>
      <c r="K109" s="3">
        <v>0</v>
      </c>
      <c r="L109" s="3"/>
      <c r="M109" s="3">
        <f t="shared" si="13"/>
        <v>17794874</v>
      </c>
      <c r="N109" s="3"/>
      <c r="O109" s="3">
        <v>0</v>
      </c>
      <c r="P109" s="1"/>
      <c r="Q109" s="3">
        <v>2669710</v>
      </c>
      <c r="R109" s="3"/>
      <c r="S109" s="3">
        <v>47077</v>
      </c>
      <c r="T109" s="3"/>
      <c r="U109" s="3">
        <v>0</v>
      </c>
      <c r="V109" s="3"/>
      <c r="W109" s="3">
        <v>0</v>
      </c>
      <c r="X109" s="3"/>
      <c r="Y109" s="3">
        <v>54731</v>
      </c>
      <c r="Z109" s="27"/>
      <c r="AA109" s="3">
        <v>0</v>
      </c>
      <c r="AB109" s="3"/>
      <c r="AC109" s="3">
        <f t="shared" si="10"/>
        <v>2771518</v>
      </c>
      <c r="AD109" s="3"/>
      <c r="AE109" s="3">
        <v>0</v>
      </c>
      <c r="AF109" s="3"/>
      <c r="AG109" s="3">
        <f t="shared" ref="AG109:AG130" si="15">+AC109+M109</f>
        <v>20566392</v>
      </c>
    </row>
    <row r="110" spans="1:33">
      <c r="A110" s="16" t="s">
        <v>176</v>
      </c>
      <c r="B110" s="16"/>
      <c r="C110" s="3" t="s">
        <v>242</v>
      </c>
      <c r="E110" s="16">
        <v>124297</v>
      </c>
      <c r="G110" s="3">
        <v>11450934</v>
      </c>
      <c r="H110" s="3"/>
      <c r="I110" s="3">
        <v>9704109</v>
      </c>
      <c r="J110" s="3"/>
      <c r="K110" s="3">
        <v>0</v>
      </c>
      <c r="L110" s="3"/>
      <c r="M110" s="3">
        <f t="shared" si="13"/>
        <v>21155043</v>
      </c>
      <c r="N110" s="3"/>
      <c r="O110" s="3">
        <v>0</v>
      </c>
      <c r="P110" s="1"/>
      <c r="Q110" s="3">
        <v>787500</v>
      </c>
      <c r="R110" s="3"/>
      <c r="S110" s="3">
        <v>32846</v>
      </c>
      <c r="T110" s="3"/>
      <c r="U110" s="3">
        <v>0</v>
      </c>
      <c r="V110" s="3"/>
      <c r="W110" s="3">
        <v>0</v>
      </c>
      <c r="X110" s="3"/>
      <c r="Y110" s="3">
        <v>60209</v>
      </c>
      <c r="Z110" s="27"/>
      <c r="AA110" s="3">
        <v>0</v>
      </c>
      <c r="AB110" s="3"/>
      <c r="AC110" s="3">
        <f t="shared" si="10"/>
        <v>880555</v>
      </c>
      <c r="AD110" s="3"/>
      <c r="AE110" s="3">
        <v>0</v>
      </c>
      <c r="AF110" s="3"/>
      <c r="AG110" s="3">
        <f t="shared" si="15"/>
        <v>22035598</v>
      </c>
    </row>
    <row r="111" spans="1:33">
      <c r="A111" s="16" t="s">
        <v>313</v>
      </c>
      <c r="B111" s="16"/>
      <c r="C111" s="3" t="s">
        <v>320</v>
      </c>
      <c r="E111" s="16">
        <v>123521</v>
      </c>
      <c r="G111" s="3">
        <v>5835197</v>
      </c>
      <c r="H111" s="3"/>
      <c r="I111" s="3">
        <v>2037278</v>
      </c>
      <c r="J111" s="3"/>
      <c r="K111" s="3">
        <v>0</v>
      </c>
      <c r="L111" s="3"/>
      <c r="M111" s="3">
        <f t="shared" si="13"/>
        <v>7872475</v>
      </c>
      <c r="N111" s="3"/>
      <c r="O111" s="3">
        <v>0</v>
      </c>
      <c r="P111" s="1"/>
      <c r="Q111" s="3">
        <v>615553</v>
      </c>
      <c r="R111" s="3"/>
      <c r="S111" s="3">
        <v>10464</v>
      </c>
      <c r="T111" s="3"/>
      <c r="U111" s="3">
        <v>0</v>
      </c>
      <c r="V111" s="3"/>
      <c r="W111" s="3">
        <v>0</v>
      </c>
      <c r="X111" s="3"/>
      <c r="Y111" s="3">
        <v>45342</v>
      </c>
      <c r="Z111" s="27"/>
      <c r="AA111" s="3">
        <v>0</v>
      </c>
      <c r="AB111" s="3"/>
      <c r="AC111" s="3">
        <f t="shared" si="10"/>
        <v>671359</v>
      </c>
      <c r="AD111" s="3"/>
      <c r="AE111" s="3">
        <v>0</v>
      </c>
      <c r="AF111" s="3"/>
      <c r="AG111" s="3">
        <f t="shared" si="15"/>
        <v>8543834</v>
      </c>
    </row>
    <row r="112" spans="1:33">
      <c r="A112" s="16" t="s">
        <v>202</v>
      </c>
      <c r="B112" s="16"/>
      <c r="C112" s="16" t="s">
        <v>203</v>
      </c>
      <c r="E112" s="16">
        <v>125674</v>
      </c>
      <c r="G112" s="3">
        <v>3857210</v>
      </c>
      <c r="H112" s="3"/>
      <c r="I112" s="3">
        <v>2019404</v>
      </c>
      <c r="J112" s="3"/>
      <c r="K112" s="3">
        <v>0</v>
      </c>
      <c r="L112" s="3"/>
      <c r="M112" s="3">
        <f t="shared" ref="M112:M130" si="16">SUM(G112:L112)</f>
        <v>5876614</v>
      </c>
      <c r="N112" s="3"/>
      <c r="O112" s="3">
        <v>0</v>
      </c>
      <c r="P112" s="1"/>
      <c r="Q112" s="3">
        <v>436270</v>
      </c>
      <c r="R112" s="3"/>
      <c r="S112" s="3">
        <v>1468</v>
      </c>
      <c r="T112" s="3"/>
      <c r="U112" s="3">
        <v>0</v>
      </c>
      <c r="V112" s="3"/>
      <c r="W112" s="3">
        <v>0</v>
      </c>
      <c r="X112" s="3"/>
      <c r="Y112" s="3">
        <f>19815+49630</f>
        <v>69445</v>
      </c>
      <c r="Z112" s="27"/>
      <c r="AA112" s="3">
        <v>0</v>
      </c>
      <c r="AB112" s="3"/>
      <c r="AC112" s="3">
        <f t="shared" si="10"/>
        <v>507183</v>
      </c>
      <c r="AD112" s="3"/>
      <c r="AE112" s="3">
        <v>0</v>
      </c>
      <c r="AF112" s="3"/>
      <c r="AG112" s="3">
        <f t="shared" si="15"/>
        <v>6383797</v>
      </c>
    </row>
    <row r="113" spans="1:33">
      <c r="A113" s="16" t="s">
        <v>204</v>
      </c>
      <c r="B113" s="16"/>
      <c r="C113" s="16" t="s">
        <v>205</v>
      </c>
      <c r="E113" s="16">
        <v>49072</v>
      </c>
      <c r="G113" s="3">
        <v>2513815</v>
      </c>
      <c r="H113" s="3"/>
      <c r="I113" s="3">
        <v>558655</v>
      </c>
      <c r="J113" s="3"/>
      <c r="K113" s="3">
        <v>0</v>
      </c>
      <c r="L113" s="3"/>
      <c r="M113" s="3">
        <f t="shared" si="16"/>
        <v>3072470</v>
      </c>
      <c r="N113" s="3"/>
      <c r="O113" s="3">
        <v>0</v>
      </c>
      <c r="P113" s="1"/>
      <c r="Q113" s="3">
        <v>426122</v>
      </c>
      <c r="R113" s="3"/>
      <c r="S113" s="3">
        <v>0</v>
      </c>
      <c r="T113" s="3"/>
      <c r="U113" s="3">
        <v>0</v>
      </c>
      <c r="V113" s="3"/>
      <c r="W113" s="3">
        <v>0</v>
      </c>
      <c r="X113" s="3"/>
      <c r="Y113" s="3">
        <v>48065</v>
      </c>
      <c r="Z113" s="27"/>
      <c r="AA113" s="3">
        <v>0</v>
      </c>
      <c r="AB113" s="3"/>
      <c r="AC113" s="3">
        <f t="shared" si="10"/>
        <v>474187</v>
      </c>
      <c r="AD113" s="3"/>
      <c r="AE113" s="3">
        <v>0</v>
      </c>
      <c r="AF113" s="3"/>
      <c r="AG113" s="3">
        <f t="shared" si="15"/>
        <v>3546657</v>
      </c>
    </row>
    <row r="114" spans="1:33">
      <c r="A114" s="16" t="s">
        <v>206</v>
      </c>
      <c r="B114" s="16"/>
      <c r="C114" s="16" t="s">
        <v>207</v>
      </c>
      <c r="E114" s="16">
        <v>49163</v>
      </c>
      <c r="G114" s="3">
        <v>7190263</v>
      </c>
      <c r="H114" s="3"/>
      <c r="I114" s="3">
        <v>207624</v>
      </c>
      <c r="J114" s="3"/>
      <c r="K114" s="3">
        <v>0</v>
      </c>
      <c r="L114" s="3"/>
      <c r="M114" s="3">
        <f t="shared" si="16"/>
        <v>7397887</v>
      </c>
      <c r="N114" s="3"/>
      <c r="O114" s="3">
        <v>0</v>
      </c>
      <c r="P114" s="1"/>
      <c r="Q114" s="3">
        <v>1259818</v>
      </c>
      <c r="R114" s="3"/>
      <c r="S114" s="3">
        <v>996</v>
      </c>
      <c r="T114" s="3"/>
      <c r="U114" s="3">
        <v>0</v>
      </c>
      <c r="V114" s="3"/>
      <c r="W114" s="3">
        <v>0</v>
      </c>
      <c r="X114" s="3"/>
      <c r="Y114" s="3">
        <v>0</v>
      </c>
      <c r="Z114" s="27"/>
      <c r="AA114" s="3">
        <v>0</v>
      </c>
      <c r="AB114" s="3"/>
      <c r="AC114" s="3">
        <f t="shared" si="10"/>
        <v>1260814</v>
      </c>
      <c r="AD114" s="3"/>
      <c r="AE114" s="3">
        <v>0</v>
      </c>
      <c r="AF114" s="3"/>
      <c r="AG114" s="3">
        <f t="shared" si="15"/>
        <v>8658701</v>
      </c>
    </row>
    <row r="115" spans="1:33" hidden="1">
      <c r="A115" s="16" t="s">
        <v>349</v>
      </c>
      <c r="B115" s="16"/>
      <c r="C115" s="16" t="s">
        <v>209</v>
      </c>
      <c r="E115" s="16">
        <v>49254</v>
      </c>
      <c r="G115" s="3"/>
      <c r="H115" s="3"/>
      <c r="I115" s="3"/>
      <c r="J115" s="3"/>
      <c r="K115" s="3"/>
      <c r="L115" s="3"/>
      <c r="M115" s="3">
        <f t="shared" si="16"/>
        <v>0</v>
      </c>
      <c r="N115" s="3"/>
      <c r="O115" s="3"/>
      <c r="P115" s="1"/>
      <c r="Q115" s="3"/>
      <c r="R115" s="3"/>
      <c r="S115" s="3"/>
      <c r="T115" s="3"/>
      <c r="U115" s="3"/>
      <c r="V115" s="3"/>
      <c r="W115" s="3"/>
      <c r="X115" s="3"/>
      <c r="Y115" s="3"/>
      <c r="Z115" s="27"/>
      <c r="AA115" s="3">
        <v>0</v>
      </c>
      <c r="AB115" s="3"/>
      <c r="AC115" s="3">
        <f t="shared" si="10"/>
        <v>0</v>
      </c>
      <c r="AD115" s="3"/>
      <c r="AE115" s="3">
        <v>0</v>
      </c>
      <c r="AF115" s="3"/>
      <c r="AG115" s="3">
        <f t="shared" si="15"/>
        <v>0</v>
      </c>
    </row>
    <row r="116" spans="1:33">
      <c r="A116" s="16" t="s">
        <v>210</v>
      </c>
      <c r="B116" s="16"/>
      <c r="C116" s="16" t="s">
        <v>211</v>
      </c>
      <c r="E116" s="16">
        <v>49304</v>
      </c>
      <c r="G116" s="3">
        <v>2303641</v>
      </c>
      <c r="H116" s="3"/>
      <c r="I116" s="3">
        <v>2502218</v>
      </c>
      <c r="J116" s="3"/>
      <c r="K116" s="3">
        <v>0</v>
      </c>
      <c r="L116" s="3"/>
      <c r="M116" s="3">
        <f t="shared" si="16"/>
        <v>4805859</v>
      </c>
      <c r="N116" s="3"/>
      <c r="O116" s="3">
        <v>0</v>
      </c>
      <c r="P116" s="1"/>
      <c r="Q116" s="3">
        <v>812942</v>
      </c>
      <c r="R116" s="3"/>
      <c r="S116" s="3">
        <v>23116</v>
      </c>
      <c r="T116" s="3"/>
      <c r="U116" s="3">
        <v>0</v>
      </c>
      <c r="V116" s="3"/>
      <c r="W116" s="3">
        <v>0</v>
      </c>
      <c r="X116" s="3"/>
      <c r="Y116" s="3">
        <v>10190</v>
      </c>
      <c r="Z116" s="27"/>
      <c r="AA116" s="3">
        <v>0</v>
      </c>
      <c r="AB116" s="3"/>
      <c r="AC116" s="3">
        <f t="shared" si="10"/>
        <v>846248</v>
      </c>
      <c r="AD116" s="3"/>
      <c r="AE116" s="3">
        <v>0</v>
      </c>
      <c r="AF116" s="3"/>
      <c r="AG116" s="3">
        <f t="shared" si="15"/>
        <v>5652107</v>
      </c>
    </row>
    <row r="117" spans="1:33">
      <c r="A117" s="16" t="s">
        <v>213</v>
      </c>
      <c r="B117" s="16"/>
      <c r="C117" s="16" t="s">
        <v>214</v>
      </c>
      <c r="E117" s="16">
        <v>138222</v>
      </c>
      <c r="G117" s="3">
        <v>5857531</v>
      </c>
      <c r="H117" s="3"/>
      <c r="I117" s="3">
        <v>2845932</v>
      </c>
      <c r="J117" s="3"/>
      <c r="K117" s="3">
        <v>0</v>
      </c>
      <c r="L117" s="3"/>
      <c r="M117" s="3">
        <f t="shared" si="16"/>
        <v>8703463</v>
      </c>
      <c r="N117" s="3"/>
      <c r="O117" s="3">
        <v>0</v>
      </c>
      <c r="P117" s="1"/>
      <c r="Q117" s="3">
        <v>507104</v>
      </c>
      <c r="R117" s="3"/>
      <c r="S117" s="3">
        <v>17299</v>
      </c>
      <c r="T117" s="3"/>
      <c r="U117" s="3">
        <v>0</v>
      </c>
      <c r="V117" s="3"/>
      <c r="W117" s="3">
        <v>0</v>
      </c>
      <c r="X117" s="3"/>
      <c r="Y117" s="3">
        <v>54548</v>
      </c>
      <c r="Z117" s="27"/>
      <c r="AA117" s="3">
        <v>0</v>
      </c>
      <c r="AB117" s="3"/>
      <c r="AC117" s="3">
        <f t="shared" si="10"/>
        <v>578951</v>
      </c>
      <c r="AD117" s="3"/>
      <c r="AE117" s="3">
        <v>0</v>
      </c>
      <c r="AF117" s="3"/>
      <c r="AG117" s="3">
        <f t="shared" si="15"/>
        <v>9282414</v>
      </c>
    </row>
    <row r="118" spans="1:33" hidden="1">
      <c r="A118" s="3" t="s">
        <v>386</v>
      </c>
      <c r="B118" s="16"/>
      <c r="C118" s="16" t="s">
        <v>216</v>
      </c>
      <c r="E118" s="16">
        <v>49551</v>
      </c>
      <c r="G118" s="3"/>
      <c r="H118" s="3"/>
      <c r="I118" s="3"/>
      <c r="J118" s="3"/>
      <c r="K118" s="3"/>
      <c r="L118" s="3"/>
      <c r="M118" s="3">
        <f t="shared" si="16"/>
        <v>0</v>
      </c>
      <c r="N118" s="3"/>
      <c r="O118" s="3"/>
      <c r="P118" s="1"/>
      <c r="Q118" s="3"/>
      <c r="R118" s="3"/>
      <c r="S118" s="3"/>
      <c r="T118" s="3"/>
      <c r="U118" s="3"/>
      <c r="V118" s="3"/>
      <c r="W118" s="3"/>
      <c r="X118" s="3"/>
      <c r="Y118" s="3"/>
      <c r="Z118" s="27"/>
      <c r="AA118" s="3"/>
      <c r="AB118" s="3"/>
      <c r="AC118" s="3">
        <f t="shared" si="10"/>
        <v>0</v>
      </c>
      <c r="AD118" s="3"/>
      <c r="AE118" s="3">
        <v>0</v>
      </c>
      <c r="AF118" s="3"/>
      <c r="AG118" s="3">
        <f t="shared" si="15"/>
        <v>0</v>
      </c>
    </row>
    <row r="119" spans="1:33">
      <c r="A119" s="16" t="s">
        <v>219</v>
      </c>
      <c r="B119" s="16"/>
      <c r="C119" s="16" t="s">
        <v>220</v>
      </c>
      <c r="E119" s="16">
        <v>49742</v>
      </c>
      <c r="G119" s="3">
        <v>3202233</v>
      </c>
      <c r="H119" s="3"/>
      <c r="I119" s="3">
        <v>1849480</v>
      </c>
      <c r="J119" s="3"/>
      <c r="K119" s="3">
        <v>0</v>
      </c>
      <c r="L119" s="3"/>
      <c r="M119" s="3">
        <f t="shared" si="16"/>
        <v>5051713</v>
      </c>
      <c r="N119" s="3"/>
      <c r="O119" s="3">
        <v>0</v>
      </c>
      <c r="P119" s="1"/>
      <c r="Q119" s="3">
        <v>298092</v>
      </c>
      <c r="R119" s="3"/>
      <c r="S119" s="3">
        <v>5976</v>
      </c>
      <c r="T119" s="3"/>
      <c r="U119" s="3">
        <v>0</v>
      </c>
      <c r="V119" s="3"/>
      <c r="W119" s="3">
        <v>0</v>
      </c>
      <c r="X119" s="3"/>
      <c r="Y119" s="3">
        <v>49133</v>
      </c>
      <c r="Z119" s="27"/>
      <c r="AA119" s="3">
        <v>0</v>
      </c>
      <c r="AB119" s="3"/>
      <c r="AC119" s="3">
        <f t="shared" si="10"/>
        <v>353201</v>
      </c>
      <c r="AD119" s="3"/>
      <c r="AE119" s="3">
        <v>0</v>
      </c>
      <c r="AF119" s="3"/>
      <c r="AG119" s="3">
        <f t="shared" si="15"/>
        <v>5404914</v>
      </c>
    </row>
    <row r="120" spans="1:33">
      <c r="A120" s="16" t="s">
        <v>324</v>
      </c>
      <c r="B120" s="16"/>
      <c r="C120" s="16" t="s">
        <v>217</v>
      </c>
      <c r="E120" s="16">
        <v>125658</v>
      </c>
      <c r="G120" s="3">
        <v>6235149</v>
      </c>
      <c r="H120" s="3"/>
      <c r="I120" s="3">
        <v>1252234</v>
      </c>
      <c r="J120" s="3"/>
      <c r="K120" s="3">
        <v>0</v>
      </c>
      <c r="L120" s="3"/>
      <c r="M120" s="3">
        <f t="shared" si="16"/>
        <v>7487383</v>
      </c>
      <c r="N120" s="3"/>
      <c r="O120" s="3">
        <v>0</v>
      </c>
      <c r="P120" s="1"/>
      <c r="Q120" s="3">
        <v>1191358</v>
      </c>
      <c r="R120" s="3"/>
      <c r="S120" s="3">
        <v>15137</v>
      </c>
      <c r="T120" s="3"/>
      <c r="U120" s="3">
        <v>0</v>
      </c>
      <c r="V120" s="3"/>
      <c r="W120" s="3">
        <v>0</v>
      </c>
      <c r="X120" s="3"/>
      <c r="Y120" s="3">
        <v>3028</v>
      </c>
      <c r="Z120" s="27"/>
      <c r="AA120" s="3">
        <v>0</v>
      </c>
      <c r="AB120" s="3"/>
      <c r="AC120" s="3">
        <f t="shared" si="10"/>
        <v>1209523</v>
      </c>
      <c r="AD120" s="3"/>
      <c r="AE120" s="3">
        <v>0</v>
      </c>
      <c r="AF120" s="3"/>
      <c r="AG120" s="3">
        <f t="shared" si="15"/>
        <v>8696906</v>
      </c>
    </row>
    <row r="121" spans="1:33">
      <c r="A121" s="3" t="s">
        <v>323</v>
      </c>
      <c r="B121" s="3"/>
      <c r="C121" s="3" t="s">
        <v>164</v>
      </c>
      <c r="E121" s="16"/>
      <c r="G121" s="3">
        <v>2530248</v>
      </c>
      <c r="H121" s="3"/>
      <c r="I121" s="3">
        <v>374668</v>
      </c>
      <c r="J121" s="3"/>
      <c r="K121" s="3">
        <v>0</v>
      </c>
      <c r="L121" s="3"/>
      <c r="M121" s="3">
        <f>SUM(G121:L121)</f>
        <v>2904916</v>
      </c>
      <c r="N121" s="3"/>
      <c r="O121" s="3">
        <v>0</v>
      </c>
      <c r="P121" s="1"/>
      <c r="Q121" s="3">
        <v>726222</v>
      </c>
      <c r="R121" s="3"/>
      <c r="S121" s="3">
        <v>92046</v>
      </c>
      <c r="T121" s="3"/>
      <c r="U121" s="3">
        <v>0</v>
      </c>
      <c r="V121" s="3"/>
      <c r="W121" s="3">
        <v>0</v>
      </c>
      <c r="X121" s="3"/>
      <c r="Y121" s="3">
        <v>115441</v>
      </c>
      <c r="Z121" s="27"/>
      <c r="AA121" s="3">
        <v>0</v>
      </c>
      <c r="AB121" s="3"/>
      <c r="AC121" s="3">
        <f t="shared" si="10"/>
        <v>933709</v>
      </c>
      <c r="AD121" s="3"/>
      <c r="AE121" s="3">
        <v>0</v>
      </c>
      <c r="AF121" s="3"/>
      <c r="AG121" s="3">
        <f t="shared" si="15"/>
        <v>3838625</v>
      </c>
    </row>
    <row r="122" spans="1:33">
      <c r="A122" s="16" t="s">
        <v>355</v>
      </c>
      <c r="B122" s="16"/>
      <c r="C122" s="16" t="s">
        <v>221</v>
      </c>
      <c r="E122" s="16">
        <v>49825</v>
      </c>
      <c r="G122" s="3">
        <v>12947970</v>
      </c>
      <c r="H122" s="3"/>
      <c r="I122" s="3">
        <v>3914935</v>
      </c>
      <c r="J122" s="3"/>
      <c r="K122" s="3">
        <v>0</v>
      </c>
      <c r="L122" s="3"/>
      <c r="M122" s="3">
        <f t="shared" si="16"/>
        <v>16862905</v>
      </c>
      <c r="N122" s="3"/>
      <c r="O122" s="3">
        <v>0</v>
      </c>
      <c r="P122" s="1"/>
      <c r="Q122" s="3">
        <v>3299854</v>
      </c>
      <c r="R122" s="3"/>
      <c r="S122" s="3">
        <v>29184</v>
      </c>
      <c r="T122" s="3"/>
      <c r="U122" s="3">
        <v>0</v>
      </c>
      <c r="V122" s="3"/>
      <c r="W122" s="3">
        <v>0</v>
      </c>
      <c r="X122" s="3"/>
      <c r="Y122" s="3">
        <v>101291</v>
      </c>
      <c r="Z122" s="27"/>
      <c r="AA122" s="3">
        <v>0</v>
      </c>
      <c r="AB122" s="3"/>
      <c r="AC122" s="3">
        <f t="shared" si="10"/>
        <v>3430329</v>
      </c>
      <c r="AD122" s="3"/>
      <c r="AE122" s="3">
        <v>0</v>
      </c>
      <c r="AF122" s="3"/>
      <c r="AG122" s="3">
        <f t="shared" si="15"/>
        <v>20293234</v>
      </c>
    </row>
    <row r="123" spans="1:33">
      <c r="A123" s="16" t="s">
        <v>222</v>
      </c>
      <c r="B123" s="16"/>
      <c r="C123" s="16" t="s">
        <v>223</v>
      </c>
      <c r="E123" s="16">
        <v>49965</v>
      </c>
      <c r="G123" s="3">
        <v>9224836</v>
      </c>
      <c r="H123" s="3"/>
      <c r="I123" s="3">
        <v>2986709</v>
      </c>
      <c r="J123" s="3"/>
      <c r="K123" s="3">
        <v>0</v>
      </c>
      <c r="L123" s="3"/>
      <c r="M123" s="3">
        <f t="shared" si="16"/>
        <v>12211545</v>
      </c>
      <c r="N123" s="3"/>
      <c r="O123" s="3">
        <v>0</v>
      </c>
      <c r="P123" s="1"/>
      <c r="Q123" s="3">
        <v>2290684</v>
      </c>
      <c r="R123" s="3"/>
      <c r="S123" s="3">
        <v>13157</v>
      </c>
      <c r="T123" s="3"/>
      <c r="U123" s="3">
        <v>0</v>
      </c>
      <c r="V123" s="3"/>
      <c r="W123" s="3">
        <v>0</v>
      </c>
      <c r="X123" s="3"/>
      <c r="Y123" s="3">
        <v>489</v>
      </c>
      <c r="Z123" s="27"/>
      <c r="AA123" s="3">
        <v>0</v>
      </c>
      <c r="AB123" s="3"/>
      <c r="AC123" s="3">
        <f t="shared" si="10"/>
        <v>2304330</v>
      </c>
      <c r="AD123" s="3"/>
      <c r="AE123" s="3">
        <v>0</v>
      </c>
      <c r="AF123" s="3"/>
      <c r="AG123" s="3">
        <f t="shared" si="15"/>
        <v>14515875</v>
      </c>
    </row>
    <row r="124" spans="1:33">
      <c r="A124" s="16" t="s">
        <v>233</v>
      </c>
      <c r="B124" s="16"/>
      <c r="C124" s="16" t="s">
        <v>234</v>
      </c>
      <c r="E124" s="16">
        <v>50526</v>
      </c>
      <c r="G124" s="3">
        <v>9943409</v>
      </c>
      <c r="H124" s="3"/>
      <c r="I124" s="3">
        <v>2929584</v>
      </c>
      <c r="J124" s="3"/>
      <c r="K124" s="3">
        <v>0</v>
      </c>
      <c r="L124" s="3"/>
      <c r="M124" s="3">
        <f t="shared" si="16"/>
        <v>12872993</v>
      </c>
      <c r="N124" s="3"/>
      <c r="O124" s="3">
        <v>0</v>
      </c>
      <c r="P124" s="1"/>
      <c r="Q124" s="3">
        <v>1635227</v>
      </c>
      <c r="R124" s="3"/>
      <c r="S124" s="3">
        <v>47976</v>
      </c>
      <c r="T124" s="3"/>
      <c r="U124" s="3">
        <v>0</v>
      </c>
      <c r="V124" s="3"/>
      <c r="W124" s="3">
        <v>0</v>
      </c>
      <c r="X124" s="3"/>
      <c r="Y124" s="3">
        <v>19633</v>
      </c>
      <c r="Z124" s="27"/>
      <c r="AA124" s="3">
        <v>0</v>
      </c>
      <c r="AB124" s="3"/>
      <c r="AC124" s="3">
        <f t="shared" si="10"/>
        <v>1702836</v>
      </c>
      <c r="AD124" s="3"/>
      <c r="AE124" s="3">
        <v>0</v>
      </c>
      <c r="AF124" s="3"/>
      <c r="AG124" s="3">
        <f t="shared" si="15"/>
        <v>14575829</v>
      </c>
    </row>
    <row r="125" spans="1:33">
      <c r="A125" s="16" t="s">
        <v>224</v>
      </c>
      <c r="B125" s="16"/>
      <c r="C125" s="16" t="s">
        <v>225</v>
      </c>
      <c r="E125" s="16">
        <v>50088</v>
      </c>
      <c r="G125" s="3">
        <v>13577851</v>
      </c>
      <c r="H125" s="3"/>
      <c r="I125" s="3">
        <v>1634348</v>
      </c>
      <c r="J125" s="3"/>
      <c r="K125" s="3">
        <v>0</v>
      </c>
      <c r="L125" s="3"/>
      <c r="M125" s="3">
        <f t="shared" si="16"/>
        <v>15212199</v>
      </c>
      <c r="N125" s="3"/>
      <c r="O125" s="3">
        <v>0</v>
      </c>
      <c r="P125" s="1"/>
      <c r="Q125" s="3">
        <v>1051768</v>
      </c>
      <c r="R125" s="3"/>
      <c r="S125" s="3">
        <v>32076</v>
      </c>
      <c r="T125" s="3"/>
      <c r="U125" s="3">
        <v>0</v>
      </c>
      <c r="V125" s="3"/>
      <c r="W125" s="3">
        <v>0</v>
      </c>
      <c r="X125" s="3"/>
      <c r="Y125" s="3">
        <v>77697</v>
      </c>
      <c r="Z125" s="27"/>
      <c r="AA125" s="3">
        <v>0</v>
      </c>
      <c r="AB125" s="3"/>
      <c r="AC125" s="3">
        <f t="shared" si="10"/>
        <v>1161541</v>
      </c>
      <c r="AD125" s="3"/>
      <c r="AE125" s="3">
        <v>0</v>
      </c>
      <c r="AF125" s="3"/>
      <c r="AG125" s="3">
        <f t="shared" si="15"/>
        <v>16373740</v>
      </c>
    </row>
    <row r="126" spans="1:33" hidden="1">
      <c r="A126" s="3" t="s">
        <v>385</v>
      </c>
      <c r="B126" s="16"/>
      <c r="C126" s="16" t="s">
        <v>227</v>
      </c>
      <c r="E126" s="16">
        <v>50260</v>
      </c>
      <c r="G126" s="3"/>
      <c r="H126" s="3"/>
      <c r="I126" s="3"/>
      <c r="J126" s="3"/>
      <c r="K126" s="3"/>
      <c r="L126" s="3"/>
      <c r="M126" s="3">
        <f t="shared" si="16"/>
        <v>0</v>
      </c>
      <c r="N126" s="3"/>
      <c r="O126" s="3"/>
      <c r="P126" s="1"/>
      <c r="Q126" s="3"/>
      <c r="R126" s="3"/>
      <c r="S126" s="3"/>
      <c r="T126" s="3"/>
      <c r="U126" s="3"/>
      <c r="V126" s="3"/>
      <c r="W126" s="3"/>
      <c r="X126" s="3"/>
      <c r="Y126" s="3"/>
      <c r="Z126" s="27"/>
      <c r="AA126" s="3"/>
      <c r="AB126" s="3"/>
      <c r="AC126" s="3"/>
      <c r="AD126" s="3"/>
      <c r="AE126" s="3">
        <v>0</v>
      </c>
      <c r="AF126" s="3"/>
      <c r="AG126" s="3">
        <f t="shared" si="15"/>
        <v>0</v>
      </c>
    </row>
    <row r="127" spans="1:33" hidden="1">
      <c r="A127" s="16" t="s">
        <v>352</v>
      </c>
      <c r="B127" s="16"/>
      <c r="C127" s="16" t="s">
        <v>231</v>
      </c>
      <c r="E127" s="16">
        <v>50401</v>
      </c>
      <c r="G127" s="3"/>
      <c r="H127" s="3"/>
      <c r="I127" s="3"/>
      <c r="J127" s="3"/>
      <c r="K127" s="3"/>
      <c r="L127" s="3"/>
      <c r="M127" s="3">
        <f t="shared" si="16"/>
        <v>0</v>
      </c>
      <c r="N127" s="3"/>
      <c r="O127" s="3"/>
      <c r="P127" s="1"/>
      <c r="Q127" s="3"/>
      <c r="R127" s="3"/>
      <c r="S127" s="3"/>
      <c r="T127" s="3"/>
      <c r="U127" s="3"/>
      <c r="V127" s="3"/>
      <c r="W127" s="3"/>
      <c r="X127" s="3"/>
      <c r="Y127" s="3"/>
      <c r="Z127" s="27"/>
      <c r="AA127" s="3">
        <v>0</v>
      </c>
      <c r="AB127" s="3"/>
      <c r="AC127" s="3">
        <f t="shared" si="10"/>
        <v>0</v>
      </c>
      <c r="AD127" s="3"/>
      <c r="AE127" s="3">
        <v>0</v>
      </c>
      <c r="AF127" s="3"/>
      <c r="AG127" s="3">
        <f t="shared" si="15"/>
        <v>0</v>
      </c>
    </row>
    <row r="128" spans="1:33" hidden="1">
      <c r="A128" s="3" t="s">
        <v>387</v>
      </c>
      <c r="B128" s="16"/>
      <c r="C128" s="16" t="s">
        <v>232</v>
      </c>
      <c r="E128" s="16">
        <v>50476</v>
      </c>
      <c r="G128" s="3"/>
      <c r="H128" s="3"/>
      <c r="I128" s="3"/>
      <c r="J128" s="3"/>
      <c r="K128" s="3"/>
      <c r="L128" s="3"/>
      <c r="M128" s="3">
        <f t="shared" si="16"/>
        <v>0</v>
      </c>
      <c r="N128" s="3"/>
      <c r="O128" s="3"/>
      <c r="P128" s="1"/>
      <c r="Q128" s="3"/>
      <c r="R128" s="3"/>
      <c r="S128" s="3"/>
      <c r="T128" s="3"/>
      <c r="U128" s="3"/>
      <c r="V128" s="3"/>
      <c r="W128" s="3"/>
      <c r="X128" s="3"/>
      <c r="Y128" s="3"/>
      <c r="Z128" s="27"/>
      <c r="AA128" s="3"/>
      <c r="AB128" s="3"/>
      <c r="AC128" s="3">
        <f t="shared" si="10"/>
        <v>0</v>
      </c>
      <c r="AD128" s="3"/>
      <c r="AE128" s="3">
        <v>0</v>
      </c>
      <c r="AF128" s="3"/>
      <c r="AG128" s="3">
        <f t="shared" si="15"/>
        <v>0</v>
      </c>
    </row>
    <row r="129" spans="1:33">
      <c r="A129" s="16" t="s">
        <v>228</v>
      </c>
      <c r="B129" s="16"/>
      <c r="C129" s="16" t="s">
        <v>317</v>
      </c>
      <c r="E129" s="16">
        <v>134999</v>
      </c>
      <c r="G129" s="3">
        <v>3348607</v>
      </c>
      <c r="H129" s="3"/>
      <c r="I129" s="3">
        <v>2146786</v>
      </c>
      <c r="J129" s="3"/>
      <c r="K129" s="3">
        <v>0</v>
      </c>
      <c r="L129" s="3"/>
      <c r="M129" s="3">
        <f t="shared" si="16"/>
        <v>5495393</v>
      </c>
      <c r="N129" s="3"/>
      <c r="O129" s="3">
        <v>0</v>
      </c>
      <c r="P129" s="1"/>
      <c r="Q129" s="3">
        <v>110323</v>
      </c>
      <c r="R129" s="3"/>
      <c r="S129" s="3">
        <v>8495</v>
      </c>
      <c r="T129" s="3"/>
      <c r="U129" s="3">
        <v>0</v>
      </c>
      <c r="V129" s="3"/>
      <c r="W129" s="3">
        <v>0</v>
      </c>
      <c r="X129" s="3"/>
      <c r="Y129" s="3">
        <v>724</v>
      </c>
      <c r="Z129" s="27"/>
      <c r="AA129" s="3">
        <v>0</v>
      </c>
      <c r="AB129" s="3"/>
      <c r="AC129" s="3">
        <f t="shared" si="10"/>
        <v>119542</v>
      </c>
      <c r="AD129" s="3"/>
      <c r="AE129" s="3">
        <v>0</v>
      </c>
      <c r="AF129" s="3"/>
      <c r="AG129" s="3">
        <f t="shared" si="15"/>
        <v>5614935</v>
      </c>
    </row>
    <row r="130" spans="1:33">
      <c r="A130" s="16" t="s">
        <v>235</v>
      </c>
      <c r="B130" s="16"/>
      <c r="C130" s="16" t="s">
        <v>236</v>
      </c>
      <c r="E130" s="16">
        <v>50666</v>
      </c>
      <c r="G130" s="3">
        <v>13258812</v>
      </c>
      <c r="H130" s="3"/>
      <c r="I130" s="3">
        <v>3699777</v>
      </c>
      <c r="J130" s="3"/>
      <c r="K130" s="3">
        <v>0</v>
      </c>
      <c r="L130" s="3"/>
      <c r="M130" s="3">
        <f t="shared" si="16"/>
        <v>16958589</v>
      </c>
      <c r="N130" s="3"/>
      <c r="O130" s="3">
        <v>0</v>
      </c>
      <c r="P130" s="1"/>
      <c r="Q130" s="3">
        <v>468986</v>
      </c>
      <c r="R130" s="3"/>
      <c r="S130" s="3">
        <v>66052</v>
      </c>
      <c r="T130" s="3"/>
      <c r="U130" s="3">
        <v>0</v>
      </c>
      <c r="V130" s="3"/>
      <c r="W130" s="3">
        <v>3925</v>
      </c>
      <c r="X130" s="3"/>
      <c r="Y130" s="3">
        <v>114034</v>
      </c>
      <c r="Z130" s="27"/>
      <c r="AA130" s="3">
        <v>0</v>
      </c>
      <c r="AB130" s="3"/>
      <c r="AC130" s="3">
        <f t="shared" si="10"/>
        <v>652997</v>
      </c>
      <c r="AD130" s="3"/>
      <c r="AE130" s="3">
        <v>0</v>
      </c>
      <c r="AF130" s="3"/>
      <c r="AG130" s="3">
        <f t="shared" si="15"/>
        <v>17611586</v>
      </c>
    </row>
    <row r="132" spans="1:33">
      <c r="G132" s="3"/>
    </row>
    <row r="134" spans="1:33">
      <c r="G134" s="3"/>
    </row>
    <row r="135" spans="1:33">
      <c r="G135" s="3"/>
    </row>
    <row r="136" spans="1:33">
      <c r="G136" s="3"/>
    </row>
    <row r="137" spans="1:33">
      <c r="G137" s="3"/>
    </row>
    <row r="138" spans="1:33">
      <c r="G138" s="3"/>
    </row>
    <row r="139" spans="1:33">
      <c r="G139" s="3"/>
    </row>
  </sheetData>
  <mergeCells count="2">
    <mergeCell ref="O6:Y6"/>
    <mergeCell ref="G6:K6"/>
  </mergeCells>
  <phoneticPr fontId="3" type="noConversion"/>
  <pageMargins left="0.9" right="0.75" top="0.5" bottom="0.5" header="0.25" footer="0.25"/>
  <pageSetup scale="80" firstPageNumber="10" pageOrder="overThenDown" orientation="portrait" useFirstPageNumber="1" r:id="rId1"/>
  <headerFooter scaleWithDoc="0" alignWithMargins="0">
    <oddFooter>&amp;C&amp;"Times New Roman,Regular"&amp;12&amp;P</oddFooter>
  </headerFooter>
  <rowBreaks count="1" manualBreakCount="1">
    <brk id="66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J140"/>
  <sheetViews>
    <sheetView zoomScaleNormal="100" zoomScaleSheetLayoutView="75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G11" sqref="G11"/>
    </sheetView>
  </sheetViews>
  <sheetFormatPr defaultRowHeight="12.75"/>
  <cols>
    <col min="1" max="1" width="40.7109375" style="18" customWidth="1"/>
    <col min="2" max="2" width="1.7109375" style="18" customWidth="1"/>
    <col min="3" max="3" width="8.7109375" style="18" customWidth="1"/>
    <col min="4" max="4" width="1.7109375" style="18" hidden="1" customWidth="1"/>
    <col min="5" max="5" width="11.7109375" style="18" hidden="1" customWidth="1"/>
    <col min="6" max="6" width="1.7109375" style="18" customWidth="1"/>
    <col min="7" max="7" width="11.7109375" style="18" customWidth="1"/>
    <col min="8" max="8" width="1.7109375" style="18" customWidth="1"/>
    <col min="9" max="9" width="11.7109375" style="18" customWidth="1"/>
    <col min="10" max="10" width="1.7109375" style="18" customWidth="1"/>
    <col min="11" max="11" width="11.7109375" style="18" customWidth="1"/>
    <col min="12" max="12" width="1.7109375" style="18" customWidth="1"/>
    <col min="13" max="13" width="11.7109375" style="18" customWidth="1"/>
    <col min="14" max="14" width="1.7109375" style="18" customWidth="1"/>
    <col min="15" max="15" width="11.7109375" style="18" customWidth="1"/>
    <col min="16" max="16" width="1.7109375" style="18" customWidth="1"/>
    <col min="17" max="17" width="11.7109375" style="18" customWidth="1"/>
    <col min="18" max="18" width="1.7109375" style="18" customWidth="1"/>
    <col min="19" max="19" width="11.7109375" style="18" customWidth="1"/>
    <col min="20" max="20" width="1.7109375" style="18" customWidth="1"/>
    <col min="21" max="21" width="11.7109375" style="18" customWidth="1"/>
    <col min="22" max="22" width="1.7109375" style="18" customWidth="1"/>
    <col min="23" max="23" width="11.7109375" style="18" customWidth="1"/>
    <col min="24" max="24" width="1.7109375" style="18" customWidth="1"/>
    <col min="25" max="25" width="11.7109375" style="18" customWidth="1"/>
    <col min="26" max="26" width="1.7109375" style="18" customWidth="1"/>
    <col min="27" max="27" width="12.140625" style="18" customWidth="1"/>
    <col min="28" max="28" width="1.7109375" style="18" customWidth="1"/>
    <col min="29" max="29" width="40.7109375" style="18" customWidth="1"/>
    <col min="30" max="30" width="1.7109375" style="18" customWidth="1"/>
    <col min="31" max="31" width="8.7109375" style="18" customWidth="1"/>
    <col min="32" max="32" width="1.7109375" style="18" customWidth="1"/>
    <col min="33" max="33" width="11.7109375" style="18" customWidth="1"/>
    <col min="34" max="34" width="1.7109375" style="18" customWidth="1"/>
    <col min="35" max="35" width="11.7109375" style="18" customWidth="1"/>
    <col min="36" max="36" width="1.7109375" style="18" hidden="1" customWidth="1"/>
    <col min="37" max="37" width="9.7109375" style="18" hidden="1" customWidth="1"/>
    <col min="38" max="38" width="1.7109375" style="18" customWidth="1"/>
    <col min="39" max="39" width="12.7109375" style="18" customWidth="1"/>
    <col min="40" max="40" width="1.7109375" style="18" customWidth="1"/>
    <col min="41" max="41" width="10.7109375" style="18" customWidth="1"/>
    <col min="42" max="42" width="1.7109375" style="18" customWidth="1"/>
    <col min="43" max="43" width="10.7109375" style="18" customWidth="1"/>
    <col min="44" max="44" width="1.7109375" style="18" customWidth="1"/>
    <col min="45" max="45" width="10.7109375" style="18" customWidth="1"/>
    <col min="46" max="46" width="1.7109375" style="18" customWidth="1"/>
    <col min="47" max="47" width="10.140625" style="18" customWidth="1"/>
    <col min="48" max="48" width="1.7109375" style="18" hidden="1" customWidth="1"/>
    <col min="49" max="49" width="11.7109375" style="18" hidden="1" customWidth="1"/>
    <col min="50" max="50" width="1.7109375" style="18" customWidth="1"/>
    <col min="51" max="51" width="9.7109375" style="18" customWidth="1"/>
    <col min="52" max="52" width="1.7109375" style="18" customWidth="1"/>
    <col min="53" max="53" width="10.7109375" style="21" customWidth="1"/>
    <col min="54" max="54" width="1.7109375" style="21" customWidth="1"/>
    <col min="55" max="55" width="10.7109375" style="21" customWidth="1"/>
    <col min="56" max="56" width="1.7109375" style="21" customWidth="1"/>
    <col min="57" max="57" width="11.7109375" style="21" customWidth="1"/>
    <col min="58" max="58" width="1.7109375" style="21" customWidth="1"/>
    <col min="59" max="59" width="10.7109375" style="21" customWidth="1"/>
    <col min="60" max="60" width="1.7109375" style="21" customWidth="1"/>
    <col min="61" max="61" width="11.7109375" style="21" customWidth="1"/>
    <col min="62" max="62" width="1.7109375" style="21" customWidth="1"/>
    <col min="63" max="16384" width="9.140625" style="18"/>
  </cols>
  <sheetData>
    <row r="1" spans="1:62" s="68" customFormat="1" ht="12">
      <c r="A1" s="19" t="s">
        <v>328</v>
      </c>
      <c r="AC1" s="19" t="s">
        <v>328</v>
      </c>
      <c r="BA1" s="69"/>
      <c r="BB1" s="69"/>
      <c r="BC1" s="69"/>
      <c r="BD1" s="69"/>
      <c r="BE1" s="69"/>
      <c r="BF1" s="69"/>
      <c r="BG1" s="69"/>
      <c r="BH1" s="69"/>
      <c r="BI1" s="69"/>
      <c r="BJ1" s="69"/>
    </row>
    <row r="2" spans="1:62" s="16" customFormat="1" ht="12">
      <c r="A2" s="19" t="s">
        <v>358</v>
      </c>
      <c r="B2" s="19"/>
      <c r="C2" s="19"/>
      <c r="D2" s="19"/>
      <c r="E2" s="1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9" t="s">
        <v>358</v>
      </c>
      <c r="AD2" s="19"/>
      <c r="AE2" s="19"/>
      <c r="AF2" s="19"/>
      <c r="AG2" s="3"/>
      <c r="AH2" s="3"/>
      <c r="AI2" s="3"/>
      <c r="AJ2" s="3"/>
      <c r="AK2" s="3"/>
      <c r="AL2" s="19"/>
      <c r="AM2" s="19"/>
      <c r="AN2" s="3"/>
      <c r="AO2" s="3"/>
      <c r="AP2" s="3"/>
      <c r="AQ2" s="3"/>
      <c r="AR2" s="3"/>
      <c r="AS2" s="3"/>
      <c r="AT2" s="3"/>
      <c r="AU2" s="3"/>
      <c r="AV2" s="3"/>
      <c r="AW2" s="45" t="s">
        <v>55</v>
      </c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</row>
    <row r="3" spans="1:62" s="16" customFormat="1" ht="12">
      <c r="A3" s="46"/>
      <c r="F3" s="3"/>
      <c r="G3" s="3"/>
      <c r="H3" s="3"/>
      <c r="I3" s="3"/>
      <c r="J3" s="3"/>
      <c r="K3" s="3"/>
      <c r="L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6" t="s">
        <v>310</v>
      </c>
      <c r="AG3" s="3"/>
      <c r="AH3" s="3"/>
      <c r="AI3" s="3"/>
      <c r="AJ3" s="3"/>
      <c r="AK3" s="3"/>
      <c r="AN3" s="3"/>
      <c r="AO3" s="3"/>
      <c r="AP3" s="3"/>
      <c r="AQ3" s="3"/>
      <c r="AR3" s="3"/>
      <c r="AS3" s="3"/>
      <c r="AT3" s="3"/>
      <c r="AU3" s="3"/>
      <c r="AV3" s="3"/>
      <c r="AW3" s="45" t="s">
        <v>56</v>
      </c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62" s="16" customFormat="1" ht="12.75" customHeight="1">
      <c r="A4" s="19" t="s">
        <v>316</v>
      </c>
      <c r="B4" s="19"/>
      <c r="C4" s="19"/>
      <c r="D4" s="19"/>
      <c r="E4" s="1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9" t="s">
        <v>316</v>
      </c>
      <c r="AD4" s="19"/>
      <c r="AE4" s="19"/>
      <c r="AF4" s="19"/>
      <c r="AG4" s="3"/>
      <c r="AH4" s="3"/>
      <c r="AI4" s="3"/>
      <c r="AJ4" s="3"/>
      <c r="AK4" s="3"/>
      <c r="AL4" s="19"/>
      <c r="AM4" s="19"/>
      <c r="AN4" s="3"/>
      <c r="AO4" s="3"/>
      <c r="AP4" s="3"/>
      <c r="AQ4" s="3"/>
      <c r="AR4" s="3"/>
      <c r="AS4" s="3"/>
      <c r="AT4" s="3"/>
      <c r="AU4" s="3"/>
      <c r="AV4" s="3"/>
      <c r="AW4" s="45" t="s">
        <v>57</v>
      </c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2" s="16" customFormat="1" ht="12.75" customHeight="1">
      <c r="A5" s="19"/>
      <c r="B5" s="19"/>
      <c r="C5" s="19"/>
      <c r="D5" s="19"/>
      <c r="E5" s="1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9"/>
      <c r="AD5" s="19"/>
      <c r="AE5" s="19"/>
      <c r="AF5" s="19"/>
      <c r="AG5" s="3"/>
      <c r="AH5" s="3"/>
      <c r="AI5" s="3"/>
      <c r="AJ5" s="3"/>
      <c r="AK5" s="3"/>
      <c r="AL5" s="19"/>
      <c r="AM5" s="19"/>
      <c r="AN5" s="3"/>
      <c r="AO5" s="3"/>
      <c r="AP5" s="3"/>
      <c r="AQ5" s="3"/>
      <c r="AR5" s="3"/>
      <c r="AS5" s="3"/>
      <c r="AT5" s="3"/>
      <c r="AU5" s="3"/>
      <c r="AV5" s="3"/>
      <c r="AW5" s="45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s="7" customFormat="1" ht="12">
      <c r="A6" s="67" t="s">
        <v>392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AC6" s="67" t="s">
        <v>392</v>
      </c>
      <c r="AD6" s="5"/>
      <c r="AE6" s="5"/>
      <c r="AF6" s="5"/>
    </row>
    <row r="7" spans="1:62" s="16" customFormat="1" ht="12">
      <c r="B7" s="19"/>
      <c r="C7" s="19"/>
      <c r="D7" s="19"/>
      <c r="E7" s="19"/>
      <c r="F7" s="3"/>
      <c r="G7" s="47" t="s">
        <v>58</v>
      </c>
      <c r="H7" s="47"/>
      <c r="I7" s="47"/>
      <c r="J7" s="47"/>
      <c r="K7" s="47"/>
      <c r="L7" s="47"/>
      <c r="M7" s="47"/>
      <c r="N7" s="3"/>
      <c r="O7" s="73" t="s">
        <v>59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48"/>
      <c r="AD7" s="2"/>
      <c r="AE7" s="2"/>
      <c r="AF7" s="2"/>
      <c r="AG7" s="47" t="s">
        <v>391</v>
      </c>
      <c r="AH7" s="47"/>
      <c r="AI7" s="47"/>
      <c r="AJ7" s="47"/>
      <c r="AK7" s="47"/>
      <c r="AL7" s="3"/>
      <c r="AM7" s="73" t="s">
        <v>356</v>
      </c>
      <c r="AN7" s="73"/>
      <c r="AO7" s="73"/>
      <c r="AP7" s="3"/>
      <c r="AQ7" s="3"/>
      <c r="AR7" s="3"/>
      <c r="AS7" s="3"/>
      <c r="AT7" s="3"/>
      <c r="AU7" s="3"/>
      <c r="AV7" s="3"/>
      <c r="AW7" s="11" t="s">
        <v>6</v>
      </c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11" t="s">
        <v>3</v>
      </c>
      <c r="BJ7" s="3"/>
    </row>
    <row r="8" spans="1:62" s="20" customFormat="1" ht="12">
      <c r="B8" s="49"/>
      <c r="C8" s="49"/>
      <c r="D8" s="49"/>
      <c r="E8" s="49"/>
      <c r="F8" s="49"/>
      <c r="G8" s="49"/>
      <c r="H8" s="49"/>
      <c r="I8" s="49"/>
      <c r="J8" s="49"/>
      <c r="K8" s="49"/>
      <c r="Q8" s="11"/>
      <c r="R8" s="11"/>
      <c r="S8" s="11"/>
      <c r="T8" s="11"/>
      <c r="U8" s="11"/>
      <c r="V8" s="11"/>
      <c r="W8" s="11"/>
      <c r="X8" s="11"/>
      <c r="Y8" s="11"/>
      <c r="Z8" s="11"/>
      <c r="AA8" s="11" t="s">
        <v>60</v>
      </c>
      <c r="AB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 t="s">
        <v>61</v>
      </c>
      <c r="AX8" s="11"/>
      <c r="AY8" s="11"/>
      <c r="AZ8" s="11"/>
      <c r="BA8" s="11"/>
      <c r="BB8" s="11"/>
      <c r="BD8" s="11"/>
      <c r="BE8" s="11" t="s">
        <v>3</v>
      </c>
      <c r="BF8" s="11"/>
      <c r="BG8" s="11" t="s">
        <v>3</v>
      </c>
      <c r="BH8" s="11"/>
      <c r="BI8" s="11" t="s">
        <v>62</v>
      </c>
      <c r="BJ8" s="11"/>
    </row>
    <row r="9" spans="1:62" s="20" customFormat="1" ht="12">
      <c r="A9" s="9"/>
      <c r="B9" s="9"/>
      <c r="C9" s="9"/>
      <c r="D9" s="9"/>
      <c r="E9" s="9"/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 t="s">
        <v>63</v>
      </c>
      <c r="R9" s="2"/>
      <c r="S9" s="2" t="s">
        <v>64</v>
      </c>
      <c r="T9" s="2"/>
      <c r="U9" s="2"/>
      <c r="V9" s="2"/>
      <c r="W9" s="2"/>
      <c r="X9" s="2"/>
      <c r="Y9" s="2"/>
      <c r="Z9" s="2"/>
      <c r="AA9" s="2" t="s">
        <v>65</v>
      </c>
      <c r="AB9" s="2"/>
      <c r="AC9" s="2"/>
      <c r="AD9" s="2"/>
      <c r="AE9" s="2"/>
      <c r="AF9" s="2"/>
      <c r="AG9" s="2" t="s">
        <v>66</v>
      </c>
      <c r="AH9" s="2"/>
      <c r="AI9" s="2"/>
      <c r="AJ9" s="2"/>
      <c r="AK9" s="2"/>
      <c r="AL9" s="2"/>
      <c r="AM9" s="11" t="s">
        <v>67</v>
      </c>
      <c r="AN9" s="11"/>
      <c r="AQ9" s="20" t="s">
        <v>68</v>
      </c>
      <c r="AU9" s="20" t="s">
        <v>69</v>
      </c>
      <c r="AW9" s="20" t="s">
        <v>70</v>
      </c>
      <c r="AY9" s="20" t="s">
        <v>71</v>
      </c>
      <c r="BA9" s="2" t="s">
        <v>8</v>
      </c>
      <c r="BB9" s="11"/>
      <c r="BC9" s="11" t="s">
        <v>121</v>
      </c>
      <c r="BD9" s="11"/>
      <c r="BE9" s="2" t="s">
        <v>72</v>
      </c>
      <c r="BF9" s="11"/>
      <c r="BG9" s="11" t="s">
        <v>73</v>
      </c>
      <c r="BH9" s="11"/>
      <c r="BI9" s="11" t="s">
        <v>74</v>
      </c>
      <c r="BJ9" s="11"/>
    </row>
    <row r="10" spans="1:62" s="20" customFormat="1" ht="12">
      <c r="A10" s="38" t="s">
        <v>354</v>
      </c>
      <c r="C10" s="38" t="s">
        <v>12</v>
      </c>
      <c r="E10" s="38" t="s">
        <v>13</v>
      </c>
      <c r="F10" s="11"/>
      <c r="G10" s="10" t="s">
        <v>278</v>
      </c>
      <c r="H10" s="11"/>
      <c r="I10" s="10" t="s">
        <v>75</v>
      </c>
      <c r="J10" s="11"/>
      <c r="K10" s="10" t="s">
        <v>76</v>
      </c>
      <c r="L10" s="11"/>
      <c r="M10" s="10" t="s">
        <v>87</v>
      </c>
      <c r="N10" s="11"/>
      <c r="O10" s="10" t="s">
        <v>77</v>
      </c>
      <c r="P10" s="11"/>
      <c r="Q10" s="10" t="s">
        <v>78</v>
      </c>
      <c r="R10" s="11"/>
      <c r="S10" s="10" t="s">
        <v>79</v>
      </c>
      <c r="T10" s="11"/>
      <c r="U10" s="10" t="s">
        <v>80</v>
      </c>
      <c r="V10" s="11"/>
      <c r="W10" s="10" t="s">
        <v>81</v>
      </c>
      <c r="X10" s="2"/>
      <c r="Y10" s="72" t="s">
        <v>82</v>
      </c>
      <c r="Z10" s="11"/>
      <c r="AA10" s="10" t="s">
        <v>83</v>
      </c>
      <c r="AB10" s="2"/>
      <c r="AC10" s="38" t="s">
        <v>354</v>
      </c>
      <c r="AE10" s="38" t="s">
        <v>12</v>
      </c>
      <c r="AF10" s="37"/>
      <c r="AG10" s="72" t="s">
        <v>84</v>
      </c>
      <c r="AH10" s="2"/>
      <c r="AI10" s="72" t="s">
        <v>85</v>
      </c>
      <c r="AJ10" s="11"/>
      <c r="AK10" s="72" t="s">
        <v>87</v>
      </c>
      <c r="AL10" s="11"/>
      <c r="AM10" s="72" t="s">
        <v>86</v>
      </c>
      <c r="AN10" s="11"/>
      <c r="AO10" s="38" t="s">
        <v>87</v>
      </c>
      <c r="AP10" s="37"/>
      <c r="AQ10" s="38" t="s">
        <v>52</v>
      </c>
      <c r="AR10" s="37"/>
      <c r="AS10" s="38" t="s">
        <v>88</v>
      </c>
      <c r="AT10" s="37"/>
      <c r="AU10" s="38" t="s">
        <v>89</v>
      </c>
      <c r="AV10" s="37"/>
      <c r="AW10" s="38" t="s">
        <v>90</v>
      </c>
      <c r="AX10" s="37"/>
      <c r="AY10" s="38" t="s">
        <v>91</v>
      </c>
      <c r="AZ10" s="37"/>
      <c r="BA10" s="38" t="s">
        <v>91</v>
      </c>
      <c r="BB10" s="2"/>
      <c r="BC10" s="72" t="s">
        <v>3</v>
      </c>
      <c r="BD10" s="11"/>
      <c r="BE10" s="72" t="s">
        <v>92</v>
      </c>
      <c r="BF10" s="11"/>
      <c r="BG10" s="72" t="s">
        <v>93</v>
      </c>
      <c r="BH10" s="11"/>
      <c r="BI10" s="72" t="s">
        <v>20</v>
      </c>
      <c r="BJ10" s="11"/>
    </row>
    <row r="11" spans="1:62">
      <c r="BC11" s="3"/>
    </row>
    <row r="12" spans="1:62">
      <c r="A12" s="39" t="s">
        <v>308</v>
      </c>
      <c r="AC12" s="39" t="s">
        <v>308</v>
      </c>
    </row>
    <row r="13" spans="1:62">
      <c r="A13" s="39"/>
      <c r="AC13" s="39"/>
    </row>
    <row r="14" spans="1:62">
      <c r="A14" s="3" t="s">
        <v>359</v>
      </c>
      <c r="B14" s="3"/>
      <c r="C14" s="3" t="s">
        <v>321</v>
      </c>
      <c r="G14" s="34">
        <v>361639</v>
      </c>
      <c r="H14" s="34"/>
      <c r="I14" s="34">
        <v>151996</v>
      </c>
      <c r="J14" s="34"/>
      <c r="K14" s="34">
        <v>6392228</v>
      </c>
      <c r="L14" s="34"/>
      <c r="M14" s="34">
        <v>2647106</v>
      </c>
      <c r="N14" s="34"/>
      <c r="O14" s="34">
        <v>802378</v>
      </c>
      <c r="P14" s="34"/>
      <c r="Q14" s="34">
        <v>1325544</v>
      </c>
      <c r="R14" s="34"/>
      <c r="S14" s="34">
        <v>43128</v>
      </c>
      <c r="T14" s="34"/>
      <c r="U14" s="34">
        <v>869594</v>
      </c>
      <c r="V14" s="34"/>
      <c r="W14" s="34">
        <v>475074</v>
      </c>
      <c r="X14" s="34"/>
      <c r="Y14" s="34">
        <v>0</v>
      </c>
      <c r="Z14" s="34"/>
      <c r="AA14" s="34">
        <v>1518530</v>
      </c>
      <c r="AB14" s="34"/>
      <c r="AC14" s="3" t="s">
        <v>359</v>
      </c>
      <c r="AD14" s="34"/>
      <c r="AE14" s="34" t="s">
        <v>321</v>
      </c>
      <c r="AF14" s="34"/>
      <c r="AG14" s="34">
        <v>57862</v>
      </c>
      <c r="AH14" s="34"/>
      <c r="AI14" s="34">
        <v>708161</v>
      </c>
      <c r="AJ14" s="34"/>
      <c r="AK14" s="34">
        <v>0</v>
      </c>
      <c r="AL14" s="34"/>
      <c r="AM14" s="34">
        <v>0</v>
      </c>
      <c r="AN14" s="34"/>
      <c r="AO14" s="34">
        <v>340477</v>
      </c>
      <c r="AP14" s="34"/>
      <c r="AQ14" s="34">
        <v>28301</v>
      </c>
      <c r="AR14" s="34"/>
      <c r="AS14" s="34">
        <v>0</v>
      </c>
      <c r="AT14" s="34"/>
      <c r="AU14" s="34">
        <v>0</v>
      </c>
      <c r="AV14" s="34"/>
      <c r="AW14" s="34"/>
      <c r="AX14" s="34"/>
      <c r="AY14" s="34">
        <v>0</v>
      </c>
      <c r="AZ14" s="34"/>
      <c r="BA14" s="34">
        <f>SUM(G14:AZ14)</f>
        <v>15722018</v>
      </c>
      <c r="BB14" s="34"/>
      <c r="BC14" s="34">
        <f>+'St of Act-Rev'!AG14-BA14</f>
        <v>481454</v>
      </c>
      <c r="BD14" s="34"/>
      <c r="BE14" s="34">
        <v>10865320</v>
      </c>
      <c r="BF14" s="34"/>
      <c r="BG14" s="34">
        <f>+BC14+BE14</f>
        <v>11346774</v>
      </c>
      <c r="BH14" s="34"/>
      <c r="BI14" s="34">
        <f>+'St of Net Assets'!AA14-BG14</f>
        <v>0</v>
      </c>
    </row>
    <row r="15" spans="1:62">
      <c r="A15" s="3" t="s">
        <v>286</v>
      </c>
      <c r="B15" s="16"/>
      <c r="C15" s="16" t="s">
        <v>151</v>
      </c>
      <c r="E15" s="16">
        <v>62042</v>
      </c>
      <c r="G15" s="3">
        <v>593489</v>
      </c>
      <c r="H15" s="3"/>
      <c r="I15" s="3">
        <v>324090</v>
      </c>
      <c r="J15" s="3"/>
      <c r="K15" s="3">
        <v>2612515</v>
      </c>
      <c r="L15" s="3"/>
      <c r="M15" s="3">
        <f>1335503+14570</f>
        <v>1350073</v>
      </c>
      <c r="N15" s="3"/>
      <c r="O15" s="3">
        <v>167182</v>
      </c>
      <c r="P15" s="3"/>
      <c r="Q15" s="3">
        <v>266023</v>
      </c>
      <c r="R15" s="3"/>
      <c r="S15" s="3">
        <v>70416</v>
      </c>
      <c r="T15" s="3"/>
      <c r="U15" s="3">
        <v>713481</v>
      </c>
      <c r="V15" s="3"/>
      <c r="W15" s="3">
        <v>404918</v>
      </c>
      <c r="X15" s="3"/>
      <c r="Y15" s="3">
        <v>3125</v>
      </c>
      <c r="Z15" s="3"/>
      <c r="AA15" s="3">
        <v>652836</v>
      </c>
      <c r="AB15" s="3"/>
      <c r="AC15" s="3" t="s">
        <v>286</v>
      </c>
      <c r="AD15" s="16"/>
      <c r="AE15" s="16" t="s">
        <v>151</v>
      </c>
      <c r="AF15" s="16"/>
      <c r="AG15" s="3">
        <v>6637</v>
      </c>
      <c r="AH15" s="3"/>
      <c r="AI15" s="3">
        <v>52867</v>
      </c>
      <c r="AJ15" s="3"/>
      <c r="AK15" s="3">
        <v>0</v>
      </c>
      <c r="AL15" s="3"/>
      <c r="AM15" s="3">
        <v>142966</v>
      </c>
      <c r="AN15" s="3"/>
      <c r="AO15" s="3">
        <v>156112</v>
      </c>
      <c r="AP15" s="3"/>
      <c r="AQ15" s="3">
        <v>29170</v>
      </c>
      <c r="AR15" s="3"/>
      <c r="AS15" s="3">
        <v>45574</v>
      </c>
      <c r="AT15" s="3"/>
      <c r="AU15" s="3">
        <v>0</v>
      </c>
      <c r="AV15" s="3"/>
      <c r="AW15" s="3"/>
      <c r="AX15" s="3"/>
      <c r="AY15" s="3">
        <v>788</v>
      </c>
      <c r="AZ15" s="3"/>
      <c r="BA15" s="3">
        <f t="shared" ref="BA15:BA64" si="0">SUM(G15:AZ15)</f>
        <v>7592262</v>
      </c>
      <c r="BB15" s="3"/>
      <c r="BC15" s="3">
        <f>+'St of Act-Rev'!AG15-BA15</f>
        <v>404898</v>
      </c>
      <c r="BD15" s="3"/>
      <c r="BE15" s="3">
        <v>9251569</v>
      </c>
      <c r="BF15" s="3"/>
      <c r="BG15" s="3">
        <f>+BC15+BE15</f>
        <v>9656467</v>
      </c>
      <c r="BI15" s="3">
        <f>+'St of Net Assets'!AA15-BG15</f>
        <v>0</v>
      </c>
    </row>
    <row r="16" spans="1:62">
      <c r="A16" s="3" t="s">
        <v>237</v>
      </c>
      <c r="B16" s="16"/>
      <c r="C16" s="16" t="s">
        <v>152</v>
      </c>
      <c r="E16" s="16">
        <v>50815</v>
      </c>
      <c r="G16" s="3">
        <v>828930</v>
      </c>
      <c r="H16" s="3"/>
      <c r="I16" s="3">
        <v>392313</v>
      </c>
      <c r="J16" s="3"/>
      <c r="K16" s="3">
        <v>7716674</v>
      </c>
      <c r="L16" s="3"/>
      <c r="M16" s="3">
        <f>351340+709664</f>
        <v>1061004</v>
      </c>
      <c r="N16" s="3"/>
      <c r="O16" s="3">
        <v>570699</v>
      </c>
      <c r="P16" s="3"/>
      <c r="Q16" s="3">
        <v>1504401</v>
      </c>
      <c r="R16" s="3"/>
      <c r="S16" s="3">
        <v>57251</v>
      </c>
      <c r="T16" s="3"/>
      <c r="U16" s="3">
        <v>1092833</v>
      </c>
      <c r="V16" s="3"/>
      <c r="W16" s="3">
        <v>457224</v>
      </c>
      <c r="X16" s="3"/>
      <c r="Y16" s="3">
        <v>67757</v>
      </c>
      <c r="Z16" s="3"/>
      <c r="AA16" s="3">
        <v>1047321</v>
      </c>
      <c r="AB16" s="3"/>
      <c r="AC16" s="3" t="s">
        <v>237</v>
      </c>
      <c r="AD16" s="16"/>
      <c r="AE16" s="16" t="s">
        <v>152</v>
      </c>
      <c r="AF16" s="16"/>
      <c r="AG16" s="3">
        <v>45908</v>
      </c>
      <c r="AH16" s="3"/>
      <c r="AI16" s="3">
        <v>34185</v>
      </c>
      <c r="AJ16" s="3"/>
      <c r="AK16" s="3">
        <v>0</v>
      </c>
      <c r="AL16" s="3"/>
      <c r="AM16" s="3">
        <v>297689</v>
      </c>
      <c r="AN16" s="3"/>
      <c r="AO16" s="3">
        <v>2038</v>
      </c>
      <c r="AP16" s="3"/>
      <c r="AQ16" s="3">
        <v>23161</v>
      </c>
      <c r="AR16" s="3"/>
      <c r="AS16" s="3">
        <v>0</v>
      </c>
      <c r="AT16" s="3"/>
      <c r="AU16" s="3">
        <v>0</v>
      </c>
      <c r="AV16" s="3"/>
      <c r="AW16" s="3"/>
      <c r="AX16" s="3"/>
      <c r="AY16" s="3">
        <v>0</v>
      </c>
      <c r="AZ16" s="3"/>
      <c r="BA16" s="3">
        <f t="shared" si="0"/>
        <v>15199388</v>
      </c>
      <c r="BB16" s="3"/>
      <c r="BC16" s="3">
        <f>+'St of Act-Rev'!AG16-BA16</f>
        <v>288598</v>
      </c>
      <c r="BD16" s="3"/>
      <c r="BE16" s="3">
        <v>15331265</v>
      </c>
      <c r="BF16" s="3"/>
      <c r="BG16" s="3">
        <f t="shared" ref="BG16:BG64" si="1">+BC16+BE16</f>
        <v>15619863</v>
      </c>
      <c r="BI16" s="3">
        <f>+'St of Net Assets'!AA16-BG16</f>
        <v>0</v>
      </c>
    </row>
    <row r="17" spans="1:62">
      <c r="A17" s="3" t="s">
        <v>360</v>
      </c>
      <c r="B17" s="16"/>
      <c r="C17" s="16" t="s">
        <v>154</v>
      </c>
      <c r="E17" s="16">
        <v>51169</v>
      </c>
      <c r="G17" s="3">
        <v>0</v>
      </c>
      <c r="H17" s="3"/>
      <c r="I17" s="3">
        <v>469455</v>
      </c>
      <c r="J17" s="3"/>
      <c r="K17" s="3">
        <v>4228594</v>
      </c>
      <c r="L17" s="3"/>
      <c r="M17" s="3">
        <v>1094250</v>
      </c>
      <c r="N17" s="3"/>
      <c r="O17" s="3">
        <v>1047707</v>
      </c>
      <c r="P17" s="3"/>
      <c r="Q17" s="3">
        <v>221057</v>
      </c>
      <c r="R17" s="3"/>
      <c r="S17" s="3">
        <v>101043</v>
      </c>
      <c r="T17" s="3"/>
      <c r="U17" s="3">
        <v>1374011</v>
      </c>
      <c r="V17" s="3"/>
      <c r="W17" s="3">
        <v>497331</v>
      </c>
      <c r="X17" s="3"/>
      <c r="Y17" s="3">
        <v>518</v>
      </c>
      <c r="Z17" s="3"/>
      <c r="AA17" s="3">
        <v>1396508</v>
      </c>
      <c r="AB17" s="3"/>
      <c r="AC17" s="3" t="s">
        <v>360</v>
      </c>
      <c r="AD17" s="16"/>
      <c r="AE17" s="16" t="s">
        <v>154</v>
      </c>
      <c r="AF17" s="16"/>
      <c r="AG17" s="3">
        <v>22095</v>
      </c>
      <c r="AH17" s="3"/>
      <c r="AI17" s="3">
        <v>553732</v>
      </c>
      <c r="AJ17" s="3"/>
      <c r="AK17" s="3">
        <v>0</v>
      </c>
      <c r="AL17" s="3"/>
      <c r="AM17" s="3">
        <v>0</v>
      </c>
      <c r="AN17" s="3"/>
      <c r="AO17" s="3">
        <v>189877</v>
      </c>
      <c r="AP17" s="3"/>
      <c r="AQ17" s="3">
        <v>199</v>
      </c>
      <c r="AR17" s="3"/>
      <c r="AS17" s="3">
        <v>0</v>
      </c>
      <c r="AT17" s="3"/>
      <c r="AU17" s="3">
        <v>0</v>
      </c>
      <c r="AV17" s="3"/>
      <c r="AW17" s="3"/>
      <c r="AX17" s="3"/>
      <c r="AY17" s="3">
        <v>0</v>
      </c>
      <c r="AZ17" s="3"/>
      <c r="BA17" s="3">
        <f t="shared" si="0"/>
        <v>11196377</v>
      </c>
      <c r="BB17" s="3"/>
      <c r="BC17" s="3">
        <f>+'St of Act-Rev'!AG17-BA17</f>
        <v>1193064</v>
      </c>
      <c r="BD17" s="3"/>
      <c r="BE17" s="3">
        <v>17844618</v>
      </c>
      <c r="BF17" s="3"/>
      <c r="BG17" s="3">
        <f t="shared" si="1"/>
        <v>19037682</v>
      </c>
      <c r="BI17" s="3">
        <f>+'St of Net Assets'!AA17-BG17</f>
        <v>0</v>
      </c>
    </row>
    <row r="18" spans="1:62">
      <c r="A18" s="3" t="s">
        <v>361</v>
      </c>
      <c r="B18" s="16"/>
      <c r="C18" s="16" t="s">
        <v>157</v>
      </c>
      <c r="E18" s="16">
        <v>50856</v>
      </c>
      <c r="G18" s="3">
        <v>297644</v>
      </c>
      <c r="H18" s="3"/>
      <c r="I18" s="3">
        <v>11450</v>
      </c>
      <c r="J18" s="3"/>
      <c r="K18" s="3">
        <v>3908659</v>
      </c>
      <c r="L18" s="3"/>
      <c r="M18" s="3">
        <v>91766</v>
      </c>
      <c r="N18" s="3"/>
      <c r="O18" s="3">
        <v>912002</v>
      </c>
      <c r="P18" s="3"/>
      <c r="Q18" s="3">
        <v>99279</v>
      </c>
      <c r="R18" s="3"/>
      <c r="S18" s="3">
        <v>36238</v>
      </c>
      <c r="T18" s="3"/>
      <c r="U18" s="3">
        <v>530409</v>
      </c>
      <c r="V18" s="3"/>
      <c r="W18" s="3">
        <v>252357</v>
      </c>
      <c r="X18" s="3"/>
      <c r="Y18" s="3">
        <v>0</v>
      </c>
      <c r="Z18" s="3"/>
      <c r="AA18" s="3">
        <v>599500</v>
      </c>
      <c r="AB18" s="3"/>
      <c r="AC18" s="3" t="s">
        <v>361</v>
      </c>
      <c r="AD18" s="16"/>
      <c r="AE18" s="16" t="s">
        <v>157</v>
      </c>
      <c r="AF18" s="16"/>
      <c r="AG18" s="3">
        <v>0</v>
      </c>
      <c r="AH18" s="3"/>
      <c r="AI18" s="3">
        <v>183552</v>
      </c>
      <c r="AJ18" s="3"/>
      <c r="AK18" s="3">
        <v>0</v>
      </c>
      <c r="AL18" s="3"/>
      <c r="AM18" s="3">
        <v>204578</v>
      </c>
      <c r="AN18" s="3"/>
      <c r="AO18" s="3">
        <v>0</v>
      </c>
      <c r="AP18" s="3"/>
      <c r="AQ18" s="3">
        <v>29850</v>
      </c>
      <c r="AR18" s="3"/>
      <c r="AS18" s="3">
        <v>0</v>
      </c>
      <c r="AT18" s="3"/>
      <c r="AU18" s="3">
        <v>0</v>
      </c>
      <c r="AV18" s="3"/>
      <c r="AW18" s="3"/>
      <c r="AX18" s="3"/>
      <c r="AY18" s="3">
        <v>0</v>
      </c>
      <c r="AZ18" s="3"/>
      <c r="BA18" s="3">
        <f t="shared" si="0"/>
        <v>7157284</v>
      </c>
      <c r="BB18" s="3"/>
      <c r="BC18" s="3">
        <f>+'St of Act-Rev'!AG18-BA18</f>
        <v>-329408</v>
      </c>
      <c r="BD18" s="3"/>
      <c r="BE18" s="3">
        <v>1129767</v>
      </c>
      <c r="BF18" s="3"/>
      <c r="BG18" s="3">
        <f t="shared" si="1"/>
        <v>800359</v>
      </c>
      <c r="BI18" s="3">
        <f>+'St of Net Assets'!AA18-BG18</f>
        <v>0</v>
      </c>
    </row>
    <row r="19" spans="1:62">
      <c r="A19" s="3" t="s">
        <v>256</v>
      </c>
      <c r="B19" s="16"/>
      <c r="C19" s="16" t="s">
        <v>227</v>
      </c>
      <c r="E19" s="16">
        <v>51656</v>
      </c>
      <c r="G19" s="3">
        <v>1235831</v>
      </c>
      <c r="H19" s="3"/>
      <c r="I19" s="3">
        <v>612236</v>
      </c>
      <c r="J19" s="3"/>
      <c r="K19" s="3">
        <v>6194722</v>
      </c>
      <c r="L19" s="3"/>
      <c r="M19" s="3">
        <v>1782758</v>
      </c>
      <c r="N19" s="3"/>
      <c r="O19" s="3">
        <v>850699</v>
      </c>
      <c r="P19" s="3"/>
      <c r="Q19" s="3">
        <v>699919</v>
      </c>
      <c r="R19" s="3"/>
      <c r="S19" s="3">
        <v>115385</v>
      </c>
      <c r="T19" s="3"/>
      <c r="U19" s="3">
        <v>677258</v>
      </c>
      <c r="V19" s="3"/>
      <c r="W19" s="3">
        <v>386761</v>
      </c>
      <c r="X19" s="3"/>
      <c r="Y19" s="3">
        <v>0</v>
      </c>
      <c r="Z19" s="3"/>
      <c r="AA19" s="3">
        <v>1644953</v>
      </c>
      <c r="AB19" s="3"/>
      <c r="AC19" s="3" t="s">
        <v>256</v>
      </c>
      <c r="AD19" s="16"/>
      <c r="AE19" s="16" t="s">
        <v>227</v>
      </c>
      <c r="AF19" s="16"/>
      <c r="AG19" s="3">
        <v>18978</v>
      </c>
      <c r="AH19" s="3"/>
      <c r="AI19" s="3">
        <v>183260</v>
      </c>
      <c r="AJ19" s="3"/>
      <c r="AK19" s="3">
        <v>0</v>
      </c>
      <c r="AL19" s="3"/>
      <c r="AM19" s="3">
        <v>448968</v>
      </c>
      <c r="AN19" s="3"/>
      <c r="AO19" s="3">
        <v>1136</v>
      </c>
      <c r="AP19" s="3"/>
      <c r="AQ19" s="3">
        <v>10414</v>
      </c>
      <c r="AR19" s="3"/>
      <c r="AS19" s="3">
        <v>16241</v>
      </c>
      <c r="AT19" s="3"/>
      <c r="AU19" s="3">
        <v>0</v>
      </c>
      <c r="AV19" s="3"/>
      <c r="AW19" s="3"/>
      <c r="AX19" s="3"/>
      <c r="AY19" s="3">
        <v>0</v>
      </c>
      <c r="AZ19" s="3"/>
      <c r="BA19" s="3">
        <f t="shared" si="0"/>
        <v>14879519</v>
      </c>
      <c r="BB19" s="3"/>
      <c r="BC19" s="3">
        <f>+'St of Act-Rev'!AG19-BA19</f>
        <v>1320258</v>
      </c>
      <c r="BD19" s="3"/>
      <c r="BE19" s="3">
        <v>20792995</v>
      </c>
      <c r="BF19" s="3"/>
      <c r="BG19" s="3">
        <f t="shared" si="1"/>
        <v>22113253</v>
      </c>
      <c r="BI19" s="3">
        <f>+'St of Net Assets'!AA19-BG19</f>
        <v>0</v>
      </c>
    </row>
    <row r="20" spans="1:62">
      <c r="A20" s="3" t="s">
        <v>337</v>
      </c>
      <c r="B20" s="16"/>
      <c r="C20" s="16" t="s">
        <v>155</v>
      </c>
      <c r="E20" s="16">
        <v>50880</v>
      </c>
      <c r="G20" s="3">
        <v>496993</v>
      </c>
      <c r="H20" s="3"/>
      <c r="I20" s="3">
        <v>0</v>
      </c>
      <c r="J20" s="3"/>
      <c r="K20" s="3">
        <v>22904144</v>
      </c>
      <c r="L20" s="3"/>
      <c r="M20" s="3">
        <v>4979265</v>
      </c>
      <c r="N20" s="3"/>
      <c r="O20" s="3">
        <v>1782909</v>
      </c>
      <c r="P20" s="3"/>
      <c r="Q20" s="3">
        <v>3146454</v>
      </c>
      <c r="R20" s="3"/>
      <c r="S20" s="3">
        <v>138519</v>
      </c>
      <c r="T20" s="3"/>
      <c r="U20" s="3">
        <v>2732172</v>
      </c>
      <c r="V20" s="3"/>
      <c r="W20" s="3">
        <v>1202063</v>
      </c>
      <c r="X20" s="3"/>
      <c r="Y20" s="3">
        <v>46170</v>
      </c>
      <c r="Z20" s="3"/>
      <c r="AA20" s="3">
        <v>3256654</v>
      </c>
      <c r="AB20" s="3"/>
      <c r="AC20" s="3" t="s">
        <v>337</v>
      </c>
      <c r="AD20" s="16"/>
      <c r="AE20" s="16" t="s">
        <v>155</v>
      </c>
      <c r="AF20" s="16"/>
      <c r="AG20" s="3">
        <v>42809</v>
      </c>
      <c r="AH20" s="3"/>
      <c r="AI20" s="3">
        <v>3091845</v>
      </c>
      <c r="AJ20" s="3"/>
      <c r="AK20" s="3">
        <v>0</v>
      </c>
      <c r="AL20" s="3"/>
      <c r="AM20" s="3">
        <v>402961</v>
      </c>
      <c r="AN20" s="3"/>
      <c r="AO20" s="3">
        <f>89957+2894+215972</f>
        <v>308823</v>
      </c>
      <c r="AP20" s="3"/>
      <c r="AQ20" s="3">
        <v>423040</v>
      </c>
      <c r="AR20" s="3"/>
      <c r="AS20" s="3">
        <v>125608</v>
      </c>
      <c r="AT20" s="3"/>
      <c r="AU20" s="3">
        <v>0</v>
      </c>
      <c r="AV20" s="3"/>
      <c r="AW20" s="3"/>
      <c r="AX20" s="3"/>
      <c r="AY20" s="3">
        <v>0</v>
      </c>
      <c r="AZ20" s="3"/>
      <c r="BA20" s="3">
        <f t="shared" si="0"/>
        <v>45080429</v>
      </c>
      <c r="BB20" s="3"/>
      <c r="BC20" s="3">
        <f>+'St of Act-Rev'!AG20-BA20</f>
        <v>3654134</v>
      </c>
      <c r="BD20" s="3"/>
      <c r="BE20" s="3">
        <v>52071921</v>
      </c>
      <c r="BF20" s="3"/>
      <c r="BG20" s="3">
        <f t="shared" si="1"/>
        <v>55726055</v>
      </c>
      <c r="BI20" s="3">
        <f>+'St of Net Assets'!AA20-BG20</f>
        <v>0</v>
      </c>
    </row>
    <row r="21" spans="1:62" s="24" customFormat="1" hidden="1">
      <c r="A21" s="3" t="s">
        <v>340</v>
      </c>
      <c r="B21" s="16"/>
      <c r="C21" s="16" t="s">
        <v>248</v>
      </c>
      <c r="E21" s="16">
        <v>63511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 t="s">
        <v>340</v>
      </c>
      <c r="AD21" s="16"/>
      <c r="AE21" s="16" t="s">
        <v>248</v>
      </c>
      <c r="AF21" s="16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>
        <f t="shared" si="0"/>
        <v>0</v>
      </c>
      <c r="BB21" s="3"/>
      <c r="BC21" s="3">
        <f>+'St of Act-Rev'!AG21-BA21</f>
        <v>0</v>
      </c>
      <c r="BD21" s="3"/>
      <c r="BE21" s="3"/>
      <c r="BF21" s="3"/>
      <c r="BG21" s="3">
        <f t="shared" si="1"/>
        <v>0</v>
      </c>
      <c r="BH21" s="27"/>
      <c r="BI21" s="3">
        <f>+'St of Net Assets'!AA21-BG21</f>
        <v>0</v>
      </c>
      <c r="BJ21" s="27"/>
    </row>
    <row r="22" spans="1:62">
      <c r="A22" s="3" t="s">
        <v>338</v>
      </c>
      <c r="B22" s="16"/>
      <c r="C22" s="16" t="s">
        <v>165</v>
      </c>
      <c r="E22" s="16">
        <v>50906</v>
      </c>
      <c r="G22" s="3">
        <v>519031</v>
      </c>
      <c r="H22" s="3"/>
      <c r="I22" s="3">
        <v>176022</v>
      </c>
      <c r="J22" s="3"/>
      <c r="K22" s="3">
        <v>2515916</v>
      </c>
      <c r="L22" s="3"/>
      <c r="M22" s="3">
        <v>108726</v>
      </c>
      <c r="N22" s="3"/>
      <c r="O22" s="3">
        <v>321066</v>
      </c>
      <c r="P22" s="3"/>
      <c r="Q22" s="3">
        <v>446575</v>
      </c>
      <c r="R22" s="3"/>
      <c r="S22" s="3">
        <v>23106</v>
      </c>
      <c r="T22" s="3"/>
      <c r="U22" s="3">
        <v>961569</v>
      </c>
      <c r="V22" s="3"/>
      <c r="W22" s="3">
        <v>306741</v>
      </c>
      <c r="X22" s="3"/>
      <c r="Y22" s="3">
        <v>0</v>
      </c>
      <c r="Z22" s="3"/>
      <c r="AA22" s="3">
        <v>851042</v>
      </c>
      <c r="AB22" s="3"/>
      <c r="AC22" s="3" t="s">
        <v>338</v>
      </c>
      <c r="AD22" s="16"/>
      <c r="AE22" s="16" t="s">
        <v>165</v>
      </c>
      <c r="AF22" s="16"/>
      <c r="AG22" s="3">
        <v>0</v>
      </c>
      <c r="AH22" s="3"/>
      <c r="AI22" s="3">
        <v>192502</v>
      </c>
      <c r="AJ22" s="3"/>
      <c r="AK22" s="3">
        <v>0</v>
      </c>
      <c r="AL22" s="3"/>
      <c r="AM22" s="3">
        <v>214894</v>
      </c>
      <c r="AN22" s="3"/>
      <c r="AO22" s="3">
        <v>218</v>
      </c>
      <c r="AP22" s="3"/>
      <c r="AQ22" s="3">
        <v>27968</v>
      </c>
      <c r="AR22" s="3"/>
      <c r="AS22" s="3">
        <v>0</v>
      </c>
      <c r="AT22" s="3"/>
      <c r="AU22" s="3">
        <v>0</v>
      </c>
      <c r="AV22" s="3"/>
      <c r="AW22" s="3"/>
      <c r="AX22" s="3"/>
      <c r="AY22" s="3">
        <v>0</v>
      </c>
      <c r="AZ22" s="3"/>
      <c r="BA22" s="3">
        <f t="shared" si="0"/>
        <v>6665376</v>
      </c>
      <c r="BB22" s="3"/>
      <c r="BC22" s="3">
        <f>+'St of Act-Rev'!AG22-BA22</f>
        <v>1305056</v>
      </c>
      <c r="BD22" s="3"/>
      <c r="BE22" s="3">
        <v>11642971</v>
      </c>
      <c r="BF22" s="3"/>
      <c r="BG22" s="3">
        <f t="shared" si="1"/>
        <v>12948027</v>
      </c>
      <c r="BI22" s="3">
        <f>+'St of Net Assets'!AA22-BG22</f>
        <v>0</v>
      </c>
    </row>
    <row r="23" spans="1:62">
      <c r="A23" s="3" t="s">
        <v>291</v>
      </c>
      <c r="B23" s="16"/>
      <c r="C23" s="16" t="s">
        <v>240</v>
      </c>
      <c r="E23" s="16">
        <v>65227</v>
      </c>
      <c r="G23" s="3">
        <v>606304</v>
      </c>
      <c r="H23" s="3"/>
      <c r="I23" s="3">
        <v>92222</v>
      </c>
      <c r="J23" s="3"/>
      <c r="K23" s="3">
        <v>1598296</v>
      </c>
      <c r="L23" s="3"/>
      <c r="M23" s="3">
        <v>0</v>
      </c>
      <c r="N23" s="3"/>
      <c r="O23" s="3">
        <v>184999</v>
      </c>
      <c r="P23" s="3"/>
      <c r="Q23" s="3">
        <v>238147</v>
      </c>
      <c r="R23" s="3"/>
      <c r="S23" s="3">
        <v>43984</v>
      </c>
      <c r="T23" s="3"/>
      <c r="U23" s="3">
        <v>248227</v>
      </c>
      <c r="V23" s="3"/>
      <c r="W23" s="3">
        <v>159547</v>
      </c>
      <c r="X23" s="3"/>
      <c r="Y23" s="3">
        <v>52661</v>
      </c>
      <c r="Z23" s="3"/>
      <c r="AA23" s="3">
        <v>464865</v>
      </c>
      <c r="AB23" s="3"/>
      <c r="AC23" s="3" t="s">
        <v>291</v>
      </c>
      <c r="AD23" s="16"/>
      <c r="AE23" s="16" t="s">
        <v>240</v>
      </c>
      <c r="AF23" s="16"/>
      <c r="AG23" s="3">
        <v>3272</v>
      </c>
      <c r="AH23" s="3"/>
      <c r="AI23" s="3">
        <v>14122</v>
      </c>
      <c r="AJ23" s="3"/>
      <c r="AK23" s="3">
        <v>0</v>
      </c>
      <c r="AL23" s="3"/>
      <c r="AM23" s="3">
        <v>115902</v>
      </c>
      <c r="AN23" s="3"/>
      <c r="AO23" s="3">
        <v>0</v>
      </c>
      <c r="AP23" s="3"/>
      <c r="AQ23" s="3">
        <v>17175</v>
      </c>
      <c r="AR23" s="3"/>
      <c r="AS23" s="3">
        <v>8767</v>
      </c>
      <c r="AT23" s="3"/>
      <c r="AU23" s="3">
        <v>0</v>
      </c>
      <c r="AV23" s="3"/>
      <c r="AW23" s="3"/>
      <c r="AX23" s="3"/>
      <c r="AY23" s="3">
        <v>0</v>
      </c>
      <c r="AZ23" s="3"/>
      <c r="BA23" s="3">
        <f t="shared" si="0"/>
        <v>3848490</v>
      </c>
      <c r="BB23" s="3"/>
      <c r="BC23" s="3">
        <f>+'St of Act-Rev'!AG23-BA23</f>
        <v>108308</v>
      </c>
      <c r="BD23" s="3"/>
      <c r="BE23" s="3">
        <v>1350322</v>
      </c>
      <c r="BF23" s="3"/>
      <c r="BG23" s="3">
        <f t="shared" si="1"/>
        <v>1458630</v>
      </c>
      <c r="BI23" s="3">
        <f>+'St of Net Assets'!AA23-BG23</f>
        <v>0</v>
      </c>
    </row>
    <row r="24" spans="1:62">
      <c r="A24" s="3" t="s">
        <v>342</v>
      </c>
      <c r="B24" s="16"/>
      <c r="C24" s="16" t="s">
        <v>187</v>
      </c>
      <c r="E24" s="16">
        <v>51201</v>
      </c>
      <c r="G24" s="3">
        <v>331455</v>
      </c>
      <c r="H24" s="3"/>
      <c r="I24" s="3">
        <v>512328</v>
      </c>
      <c r="J24" s="3"/>
      <c r="K24" s="3">
        <v>7236130</v>
      </c>
      <c r="L24" s="3"/>
      <c r="M24" s="3">
        <v>2373037</v>
      </c>
      <c r="N24" s="3"/>
      <c r="O24" s="3">
        <v>758338</v>
      </c>
      <c r="P24" s="3"/>
      <c r="Q24" s="3">
        <v>1188594</v>
      </c>
      <c r="R24" s="3"/>
      <c r="S24" s="3">
        <v>31963</v>
      </c>
      <c r="T24" s="3"/>
      <c r="U24" s="3">
        <v>1064330</v>
      </c>
      <c r="V24" s="3"/>
      <c r="W24" s="3">
        <v>330085</v>
      </c>
      <c r="X24" s="3"/>
      <c r="Y24" s="3">
        <v>576331</v>
      </c>
      <c r="Z24" s="3"/>
      <c r="AA24" s="3">
        <v>1599254</v>
      </c>
      <c r="AB24" s="3"/>
      <c r="AC24" s="3" t="s">
        <v>342</v>
      </c>
      <c r="AD24" s="16"/>
      <c r="AE24" s="16" t="s">
        <v>187</v>
      </c>
      <c r="AF24" s="16"/>
      <c r="AG24" s="3">
        <v>23862</v>
      </c>
      <c r="AH24" s="3"/>
      <c r="AI24" s="3">
        <v>1649000</v>
      </c>
      <c r="AJ24" s="3"/>
      <c r="AK24" s="3">
        <v>0</v>
      </c>
      <c r="AL24" s="3"/>
      <c r="AM24" s="3">
        <v>281853</v>
      </c>
      <c r="AN24" s="3"/>
      <c r="AO24" s="3">
        <v>1169</v>
      </c>
      <c r="AP24" s="3"/>
      <c r="AQ24" s="3">
        <v>76567</v>
      </c>
      <c r="AR24" s="3"/>
      <c r="AS24" s="3">
        <v>725712</v>
      </c>
      <c r="AT24" s="3"/>
      <c r="AU24" s="3">
        <v>0</v>
      </c>
      <c r="AV24" s="3"/>
      <c r="AW24" s="3"/>
      <c r="AX24" s="3"/>
      <c r="AY24" s="3">
        <v>0</v>
      </c>
      <c r="AZ24" s="3"/>
      <c r="BA24" s="3">
        <f t="shared" si="0"/>
        <v>18760008</v>
      </c>
      <c r="BB24" s="3"/>
      <c r="BC24" s="3">
        <f>+'St of Act-Rev'!AG24-BA24</f>
        <v>178919</v>
      </c>
      <c r="BD24" s="3"/>
      <c r="BE24" s="3">
        <v>12658267</v>
      </c>
      <c r="BF24" s="3"/>
      <c r="BG24" s="3">
        <f t="shared" si="1"/>
        <v>12837186</v>
      </c>
      <c r="BI24" s="3">
        <f>+'St of Net Assets'!AA24-BG24</f>
        <v>0</v>
      </c>
    </row>
    <row r="25" spans="1:62">
      <c r="A25" s="3" t="s">
        <v>288</v>
      </c>
      <c r="B25" s="16"/>
      <c r="C25" s="16" t="s">
        <v>167</v>
      </c>
      <c r="E25" s="16">
        <v>50922</v>
      </c>
      <c r="G25" s="3">
        <v>720197</v>
      </c>
      <c r="H25" s="3"/>
      <c r="I25" s="3">
        <v>232623</v>
      </c>
      <c r="J25" s="3"/>
      <c r="K25" s="3">
        <v>5260070</v>
      </c>
      <c r="L25" s="3"/>
      <c r="M25" s="3">
        <v>1572295</v>
      </c>
      <c r="N25" s="3"/>
      <c r="O25" s="3">
        <v>677235</v>
      </c>
      <c r="P25" s="3"/>
      <c r="Q25" s="3">
        <v>1576946</v>
      </c>
      <c r="R25" s="3"/>
      <c r="S25" s="3">
        <v>29798</v>
      </c>
      <c r="T25" s="3"/>
      <c r="U25" s="3">
        <v>2157552</v>
      </c>
      <c r="V25" s="3"/>
      <c r="W25" s="3">
        <v>922441</v>
      </c>
      <c r="X25" s="3"/>
      <c r="Y25" s="3">
        <v>763358</v>
      </c>
      <c r="Z25" s="3"/>
      <c r="AA25" s="3">
        <v>1580443</v>
      </c>
      <c r="AB25" s="3"/>
      <c r="AC25" s="3" t="s">
        <v>288</v>
      </c>
      <c r="AD25" s="16"/>
      <c r="AE25" s="16" t="s">
        <v>167</v>
      </c>
      <c r="AF25" s="16"/>
      <c r="AG25" s="3">
        <v>20222</v>
      </c>
      <c r="AH25" s="3"/>
      <c r="AI25" s="3">
        <v>268952</v>
      </c>
      <c r="AJ25" s="3"/>
      <c r="AK25" s="3">
        <v>0</v>
      </c>
      <c r="AL25" s="3"/>
      <c r="AM25" s="3">
        <v>193911</v>
      </c>
      <c r="AN25" s="3"/>
      <c r="AO25" s="3">
        <v>4061</v>
      </c>
      <c r="AP25" s="3"/>
      <c r="AQ25" s="3">
        <v>71189</v>
      </c>
      <c r="AR25" s="3"/>
      <c r="AS25" s="3">
        <v>0</v>
      </c>
      <c r="AT25" s="3"/>
      <c r="AU25" s="3">
        <v>0</v>
      </c>
      <c r="AV25" s="3"/>
      <c r="AW25" s="3"/>
      <c r="AX25" s="3"/>
      <c r="AY25" s="3">
        <f>293992+1988108</f>
        <v>2282100</v>
      </c>
      <c r="AZ25" s="3"/>
      <c r="BA25" s="3">
        <f t="shared" si="0"/>
        <v>18333393</v>
      </c>
      <c r="BB25" s="3"/>
      <c r="BC25" s="3">
        <f>+'St of Act-Rev'!AG25-BA25</f>
        <v>-436229</v>
      </c>
      <c r="BD25" s="3"/>
      <c r="BE25" s="3">
        <v>31969427</v>
      </c>
      <c r="BF25" s="3"/>
      <c r="BG25" s="3">
        <f t="shared" si="1"/>
        <v>31533198</v>
      </c>
      <c r="BI25" s="3">
        <f>+'St of Net Assets'!AA25-BG25</f>
        <v>0</v>
      </c>
    </row>
    <row r="26" spans="1:62">
      <c r="A26" s="3" t="s">
        <v>287</v>
      </c>
      <c r="B26" s="16"/>
      <c r="C26" s="16" t="s">
        <v>171</v>
      </c>
      <c r="E26" s="16">
        <v>50989</v>
      </c>
      <c r="G26" s="3">
        <v>1181527</v>
      </c>
      <c r="H26" s="3"/>
      <c r="I26" s="3">
        <v>229107</v>
      </c>
      <c r="J26" s="3"/>
      <c r="K26" s="3">
        <v>5845488</v>
      </c>
      <c r="L26" s="3"/>
      <c r="M26" s="3">
        <f>899514+108203</f>
        <v>1007717</v>
      </c>
      <c r="N26" s="3"/>
      <c r="O26" s="3">
        <v>701993</v>
      </c>
      <c r="P26" s="3"/>
      <c r="Q26" s="3">
        <v>937007</v>
      </c>
      <c r="R26" s="3"/>
      <c r="S26" s="3">
        <v>141953</v>
      </c>
      <c r="T26" s="3"/>
      <c r="U26" s="3">
        <v>1377786</v>
      </c>
      <c r="V26" s="3"/>
      <c r="W26" s="3">
        <v>735048</v>
      </c>
      <c r="X26" s="3"/>
      <c r="Y26" s="3">
        <v>0</v>
      </c>
      <c r="Z26" s="3"/>
      <c r="AA26" s="3">
        <v>1616261</v>
      </c>
      <c r="AB26" s="3"/>
      <c r="AC26" s="3" t="s">
        <v>287</v>
      </c>
      <c r="AD26" s="16"/>
      <c r="AE26" s="16" t="s">
        <v>171</v>
      </c>
      <c r="AF26" s="16"/>
      <c r="AG26" s="3">
        <v>23321</v>
      </c>
      <c r="AH26" s="3"/>
      <c r="AI26" s="3">
        <v>981045</v>
      </c>
      <c r="AJ26" s="3"/>
      <c r="AK26" s="3">
        <v>0</v>
      </c>
      <c r="AL26" s="3"/>
      <c r="AM26" s="3">
        <v>194556</v>
      </c>
      <c r="AN26" s="3"/>
      <c r="AO26" s="3">
        <v>14289</v>
      </c>
      <c r="AP26" s="3"/>
      <c r="AQ26" s="3">
        <v>30633</v>
      </c>
      <c r="AR26" s="3"/>
      <c r="AS26" s="3">
        <v>0</v>
      </c>
      <c r="AT26" s="3"/>
      <c r="AU26" s="3">
        <v>0</v>
      </c>
      <c r="AV26" s="3"/>
      <c r="AW26" s="3"/>
      <c r="AX26" s="3"/>
      <c r="AY26" s="3">
        <v>0</v>
      </c>
      <c r="AZ26" s="3"/>
      <c r="BA26" s="3">
        <f t="shared" si="0"/>
        <v>15017731</v>
      </c>
      <c r="BB26" s="3"/>
      <c r="BC26" s="3">
        <f>+'St of Act-Rev'!AG26-BA26</f>
        <v>4320165</v>
      </c>
      <c r="BD26" s="3"/>
      <c r="BE26" s="3">
        <v>28662906</v>
      </c>
      <c r="BF26" s="3"/>
      <c r="BG26" s="3">
        <f t="shared" si="1"/>
        <v>32983071</v>
      </c>
      <c r="BI26" s="3">
        <f>+'St of Net Assets'!AA26-BG26</f>
        <v>0</v>
      </c>
    </row>
    <row r="27" spans="1:62">
      <c r="A27" s="3" t="s">
        <v>289</v>
      </c>
      <c r="B27" s="16"/>
      <c r="C27" s="16" t="s">
        <v>175</v>
      </c>
      <c r="E27" s="16">
        <v>51003</v>
      </c>
      <c r="G27" s="3">
        <v>3799399</v>
      </c>
      <c r="H27" s="3"/>
      <c r="I27" s="3">
        <v>1478565</v>
      </c>
      <c r="J27" s="3"/>
      <c r="K27" s="3">
        <v>8095947</v>
      </c>
      <c r="L27" s="3"/>
      <c r="M27" s="3">
        <f>216958+696005</f>
        <v>912963</v>
      </c>
      <c r="N27" s="3"/>
      <c r="O27" s="3">
        <v>885456</v>
      </c>
      <c r="P27" s="3"/>
      <c r="Q27" s="3">
        <v>486136</v>
      </c>
      <c r="R27" s="3"/>
      <c r="S27" s="3">
        <v>34242</v>
      </c>
      <c r="T27" s="3"/>
      <c r="U27" s="3">
        <v>2784623</v>
      </c>
      <c r="V27" s="3"/>
      <c r="W27" s="3">
        <v>791652</v>
      </c>
      <c r="X27" s="3"/>
      <c r="Y27" s="3">
        <v>20200</v>
      </c>
      <c r="Z27" s="3"/>
      <c r="AA27" s="3">
        <v>1418286</v>
      </c>
      <c r="AB27" s="3"/>
      <c r="AC27" s="3" t="s">
        <v>289</v>
      </c>
      <c r="AD27" s="16"/>
      <c r="AE27" s="16" t="s">
        <v>175</v>
      </c>
      <c r="AF27" s="16"/>
      <c r="AG27" s="3">
        <v>54725</v>
      </c>
      <c r="AH27" s="3"/>
      <c r="AI27" s="3">
        <v>491003</v>
      </c>
      <c r="AJ27" s="3"/>
      <c r="AK27" s="3">
        <v>0</v>
      </c>
      <c r="AL27" s="3"/>
      <c r="AM27" s="3">
        <v>0</v>
      </c>
      <c r="AN27" s="3"/>
      <c r="AO27" s="3">
        <v>374873</v>
      </c>
      <c r="AP27" s="3"/>
      <c r="AQ27" s="3">
        <v>37640</v>
      </c>
      <c r="AR27" s="3"/>
      <c r="AS27" s="3">
        <v>19662</v>
      </c>
      <c r="AT27" s="3"/>
      <c r="AU27" s="3">
        <v>0</v>
      </c>
      <c r="AV27" s="3"/>
      <c r="AW27" s="3">
        <v>0</v>
      </c>
      <c r="AX27" s="3"/>
      <c r="AY27" s="3">
        <v>3047376</v>
      </c>
      <c r="AZ27" s="3"/>
      <c r="BA27" s="3">
        <f t="shared" si="0"/>
        <v>24732748</v>
      </c>
      <c r="BB27" s="3"/>
      <c r="BC27" s="3">
        <f>+'St of Act-Rev'!AG27-BA27</f>
        <v>1070826</v>
      </c>
      <c r="BD27" s="3"/>
      <c r="BE27" s="3">
        <v>42954688</v>
      </c>
      <c r="BF27" s="3"/>
      <c r="BG27" s="3">
        <f t="shared" si="1"/>
        <v>44025514</v>
      </c>
      <c r="BI27" s="3">
        <f>+'St of Net Assets'!AA27-BG27</f>
        <v>0</v>
      </c>
    </row>
    <row r="28" spans="1:62">
      <c r="A28" s="3" t="s">
        <v>290</v>
      </c>
      <c r="B28" s="16"/>
      <c r="C28" s="16" t="s">
        <v>172</v>
      </c>
      <c r="E28" s="16">
        <v>51029</v>
      </c>
      <c r="G28" s="3">
        <v>884416</v>
      </c>
      <c r="H28" s="3"/>
      <c r="I28" s="3">
        <v>431592</v>
      </c>
      <c r="J28" s="3"/>
      <c r="K28" s="3">
        <v>5232858</v>
      </c>
      <c r="L28" s="3"/>
      <c r="M28" s="3">
        <v>4834492</v>
      </c>
      <c r="N28" s="3"/>
      <c r="O28" s="3">
        <v>997271</v>
      </c>
      <c r="P28" s="3"/>
      <c r="Q28" s="3">
        <v>282855</v>
      </c>
      <c r="R28" s="3"/>
      <c r="S28" s="3">
        <v>63513</v>
      </c>
      <c r="T28" s="3"/>
      <c r="U28" s="3">
        <v>2159814</v>
      </c>
      <c r="V28" s="3"/>
      <c r="W28" s="3">
        <v>488540</v>
      </c>
      <c r="X28" s="3"/>
      <c r="Y28" s="3">
        <v>237391</v>
      </c>
      <c r="Z28" s="3"/>
      <c r="AA28" s="3">
        <v>2682980</v>
      </c>
      <c r="AB28" s="3"/>
      <c r="AC28" s="3" t="s">
        <v>290</v>
      </c>
      <c r="AD28" s="16"/>
      <c r="AE28" s="16" t="s">
        <v>172</v>
      </c>
      <c r="AF28" s="16"/>
      <c r="AG28" s="3">
        <v>15895</v>
      </c>
      <c r="AH28" s="3"/>
      <c r="AI28" s="3">
        <v>457152</v>
      </c>
      <c r="AJ28" s="3"/>
      <c r="AK28" s="3">
        <v>0</v>
      </c>
      <c r="AL28" s="3"/>
      <c r="AM28" s="3">
        <v>356170</v>
      </c>
      <c r="AN28" s="3"/>
      <c r="AO28" s="3">
        <v>239824</v>
      </c>
      <c r="AP28" s="3"/>
      <c r="AQ28" s="3">
        <v>0</v>
      </c>
      <c r="AR28" s="3"/>
      <c r="AS28" s="3">
        <v>69641</v>
      </c>
      <c r="AT28" s="3"/>
      <c r="AU28" s="3">
        <v>0</v>
      </c>
      <c r="AV28" s="3"/>
      <c r="AW28" s="3">
        <v>0</v>
      </c>
      <c r="AX28" s="3"/>
      <c r="AY28" s="3">
        <v>0</v>
      </c>
      <c r="AZ28" s="3"/>
      <c r="BA28" s="3">
        <f t="shared" si="0"/>
        <v>19434404</v>
      </c>
      <c r="BB28" s="3"/>
      <c r="BC28" s="3">
        <f>+'St of Act-Rev'!AG28-BA28</f>
        <v>-502817</v>
      </c>
      <c r="BD28" s="3"/>
      <c r="BE28" s="3">
        <v>5673962</v>
      </c>
      <c r="BF28" s="3"/>
      <c r="BG28" s="3">
        <f t="shared" si="1"/>
        <v>5171145</v>
      </c>
      <c r="BI28" s="3">
        <f>+'St of Net Assets'!AA28-BG28</f>
        <v>0</v>
      </c>
    </row>
    <row r="29" spans="1:62">
      <c r="A29" s="3" t="s">
        <v>292</v>
      </c>
      <c r="B29" s="16"/>
      <c r="C29" s="16" t="s">
        <v>242</v>
      </c>
      <c r="E29" s="16">
        <v>50963</v>
      </c>
      <c r="G29" s="3">
        <v>52303</v>
      </c>
      <c r="H29" s="3"/>
      <c r="I29" s="3">
        <v>0</v>
      </c>
      <c r="J29" s="3"/>
      <c r="K29" s="3">
        <v>8554109</v>
      </c>
      <c r="L29" s="3"/>
      <c r="M29" s="3">
        <v>1214393</v>
      </c>
      <c r="N29" s="3"/>
      <c r="O29" s="3">
        <v>1384138</v>
      </c>
      <c r="P29" s="3"/>
      <c r="Q29" s="3">
        <v>627373</v>
      </c>
      <c r="R29" s="3"/>
      <c r="S29" s="3">
        <v>51342</v>
      </c>
      <c r="T29" s="3"/>
      <c r="U29" s="3">
        <v>1446246</v>
      </c>
      <c r="V29" s="3"/>
      <c r="W29" s="3">
        <v>482160</v>
      </c>
      <c r="X29" s="3"/>
      <c r="Y29" s="3">
        <v>70390</v>
      </c>
      <c r="Z29" s="3"/>
      <c r="AA29" s="3">
        <v>1953332</v>
      </c>
      <c r="AB29" s="3"/>
      <c r="AC29" s="3" t="s">
        <v>292</v>
      </c>
      <c r="AD29" s="16"/>
      <c r="AE29" s="16" t="s">
        <v>242</v>
      </c>
      <c r="AF29" s="16"/>
      <c r="AG29" s="3">
        <v>21974</v>
      </c>
      <c r="AH29" s="3"/>
      <c r="AI29" s="3">
        <v>507086</v>
      </c>
      <c r="AJ29" s="3"/>
      <c r="AK29" s="3">
        <v>0</v>
      </c>
      <c r="AL29" s="3"/>
      <c r="AM29" s="3">
        <v>0</v>
      </c>
      <c r="AN29" s="3"/>
      <c r="AO29" s="3">
        <v>474411</v>
      </c>
      <c r="AP29" s="3"/>
      <c r="AQ29" s="3">
        <v>61681</v>
      </c>
      <c r="AR29" s="3"/>
      <c r="AS29" s="3">
        <v>54935</v>
      </c>
      <c r="AT29" s="3"/>
      <c r="AU29" s="3">
        <v>0</v>
      </c>
      <c r="AV29" s="3"/>
      <c r="AW29" s="3">
        <v>0</v>
      </c>
      <c r="AX29" s="3"/>
      <c r="AY29" s="3">
        <v>0</v>
      </c>
      <c r="AZ29" s="3"/>
      <c r="BA29" s="3">
        <f t="shared" si="0"/>
        <v>16955873</v>
      </c>
      <c r="BB29" s="3"/>
      <c r="BC29" s="3">
        <f>+'St of Act-Rev'!AG29-BA29</f>
        <v>332337</v>
      </c>
      <c r="BD29" s="3"/>
      <c r="BE29" s="3">
        <v>18677543</v>
      </c>
      <c r="BF29" s="3"/>
      <c r="BG29" s="3">
        <f t="shared" si="1"/>
        <v>19009880</v>
      </c>
      <c r="BI29" s="3">
        <f>+'St of Net Assets'!AA29-BG29</f>
        <v>0</v>
      </c>
    </row>
    <row r="30" spans="1:62">
      <c r="A30" s="3" t="s">
        <v>241</v>
      </c>
      <c r="B30" s="16"/>
      <c r="C30" s="16" t="s">
        <v>178</v>
      </c>
      <c r="E30" s="16">
        <v>62067</v>
      </c>
      <c r="G30" s="3">
        <v>121294</v>
      </c>
      <c r="H30" s="3"/>
      <c r="I30" s="3">
        <v>930950</v>
      </c>
      <c r="J30" s="3"/>
      <c r="K30" s="3">
        <v>4804103</v>
      </c>
      <c r="L30" s="3"/>
      <c r="M30" s="3">
        <v>642556</v>
      </c>
      <c r="N30" s="3"/>
      <c r="O30" s="3">
        <v>478910</v>
      </c>
      <c r="P30" s="3"/>
      <c r="Q30" s="3">
        <v>486473</v>
      </c>
      <c r="R30" s="3"/>
      <c r="S30" s="3">
        <v>95008</v>
      </c>
      <c r="T30" s="3"/>
      <c r="U30" s="3">
        <v>559928</v>
      </c>
      <c r="V30" s="3"/>
      <c r="W30" s="3">
        <v>360507</v>
      </c>
      <c r="X30" s="3"/>
      <c r="Y30" s="3">
        <v>59091</v>
      </c>
      <c r="Z30" s="3"/>
      <c r="AA30" s="3">
        <v>2450655</v>
      </c>
      <c r="AB30" s="3"/>
      <c r="AC30" s="3" t="s">
        <v>241</v>
      </c>
      <c r="AD30" s="16"/>
      <c r="AE30" s="16" t="s">
        <v>178</v>
      </c>
      <c r="AF30" s="16"/>
      <c r="AG30" s="3">
        <v>20057</v>
      </c>
      <c r="AH30" s="3"/>
      <c r="AI30" s="3">
        <v>254598</v>
      </c>
      <c r="AJ30" s="3"/>
      <c r="AK30" s="3">
        <v>0</v>
      </c>
      <c r="AL30" s="3"/>
      <c r="AM30" s="3">
        <v>207977</v>
      </c>
      <c r="AN30" s="3"/>
      <c r="AO30" s="3">
        <f>1925653+51165</f>
        <v>1976818</v>
      </c>
      <c r="AP30" s="3"/>
      <c r="AQ30" s="3">
        <v>18750</v>
      </c>
      <c r="AR30" s="3"/>
      <c r="AS30" s="3">
        <v>64690</v>
      </c>
      <c r="AT30" s="3"/>
      <c r="AU30" s="3">
        <v>0</v>
      </c>
      <c r="AV30" s="3"/>
      <c r="AW30" s="3"/>
      <c r="AX30" s="3"/>
      <c r="AY30" s="3">
        <v>0</v>
      </c>
      <c r="AZ30" s="3"/>
      <c r="BA30" s="3">
        <f t="shared" si="0"/>
        <v>13532365</v>
      </c>
      <c r="BB30" s="3"/>
      <c r="BC30" s="3">
        <f>+'St of Act-Rev'!AG30-BA30</f>
        <v>-1263965</v>
      </c>
      <c r="BD30" s="3"/>
      <c r="BE30" s="3">
        <v>27352087</v>
      </c>
      <c r="BF30" s="3"/>
      <c r="BG30" s="3">
        <f t="shared" si="1"/>
        <v>26088122</v>
      </c>
      <c r="BI30" s="3">
        <f>+'St of Net Assets'!AA30-BG30</f>
        <v>0</v>
      </c>
    </row>
    <row r="31" spans="1:62">
      <c r="A31" s="3" t="s">
        <v>374</v>
      </c>
      <c r="B31" s="16"/>
      <c r="C31" s="16" t="s">
        <v>181</v>
      </c>
      <c r="E31" s="16">
        <v>51060</v>
      </c>
      <c r="G31" s="3">
        <v>392905</v>
      </c>
      <c r="H31" s="3"/>
      <c r="I31" s="3">
        <v>0</v>
      </c>
      <c r="J31" s="3"/>
      <c r="K31" s="3">
        <v>34322344</v>
      </c>
      <c r="L31" s="3"/>
      <c r="M31" s="3">
        <v>7010299</v>
      </c>
      <c r="N31" s="3"/>
      <c r="O31" s="3">
        <v>3362956</v>
      </c>
      <c r="P31" s="3"/>
      <c r="Q31" s="3">
        <v>4799227</v>
      </c>
      <c r="R31" s="3"/>
      <c r="S31" s="3">
        <v>456679</v>
      </c>
      <c r="T31" s="3"/>
      <c r="U31" s="3">
        <v>4285374</v>
      </c>
      <c r="V31" s="3"/>
      <c r="W31" s="3">
        <v>2607857</v>
      </c>
      <c r="X31" s="3"/>
      <c r="Y31" s="3">
        <v>904405</v>
      </c>
      <c r="Z31" s="3"/>
      <c r="AA31" s="3">
        <v>7559738</v>
      </c>
      <c r="AB31" s="3"/>
      <c r="AC31" s="3" t="s">
        <v>374</v>
      </c>
      <c r="AD31" s="3"/>
      <c r="AE31" s="3" t="s">
        <v>181</v>
      </c>
      <c r="AF31" s="16"/>
      <c r="AG31" s="3">
        <v>387489</v>
      </c>
      <c r="AH31" s="3"/>
      <c r="AI31" s="3">
        <v>4991271</v>
      </c>
      <c r="AJ31" s="3"/>
      <c r="AK31" s="3">
        <v>0</v>
      </c>
      <c r="AL31" s="3"/>
      <c r="AM31" s="3">
        <v>0</v>
      </c>
      <c r="AN31" s="3"/>
      <c r="AO31" s="3">
        <v>2485914</v>
      </c>
      <c r="AP31" s="3"/>
      <c r="AQ31" s="3">
        <v>0</v>
      </c>
      <c r="AR31" s="3"/>
      <c r="AS31" s="3">
        <v>525246</v>
      </c>
      <c r="AT31" s="3"/>
      <c r="AU31" s="3">
        <v>0</v>
      </c>
      <c r="AV31" s="3"/>
      <c r="AW31" s="3"/>
      <c r="AX31" s="3"/>
      <c r="AY31" s="3">
        <v>0</v>
      </c>
      <c r="AZ31" s="3"/>
      <c r="BA31" s="3">
        <f t="shared" si="0"/>
        <v>74091704</v>
      </c>
      <c r="BB31" s="3"/>
      <c r="BC31" s="3">
        <f>+'St of Act-Rev'!AG31-BA31</f>
        <v>560292</v>
      </c>
      <c r="BD31" s="3"/>
      <c r="BE31" s="3">
        <v>134833689</v>
      </c>
      <c r="BF31" s="3"/>
      <c r="BG31" s="3">
        <f t="shared" si="1"/>
        <v>135393981</v>
      </c>
      <c r="BI31" s="3">
        <f>+'St of Net Assets'!AA31-BG31</f>
        <v>0</v>
      </c>
    </row>
    <row r="32" spans="1:62">
      <c r="A32" s="3" t="s">
        <v>375</v>
      </c>
      <c r="B32" s="16"/>
      <c r="C32" s="16" t="s">
        <v>180</v>
      </c>
      <c r="E32" s="16">
        <v>51045</v>
      </c>
      <c r="G32" s="3">
        <v>882037</v>
      </c>
      <c r="H32" s="3"/>
      <c r="I32" s="3">
        <v>0</v>
      </c>
      <c r="J32" s="3"/>
      <c r="K32" s="3">
        <v>8407467</v>
      </c>
      <c r="L32" s="3"/>
      <c r="M32" s="3">
        <v>0</v>
      </c>
      <c r="N32" s="3"/>
      <c r="O32" s="3">
        <v>946215</v>
      </c>
      <c r="P32" s="3"/>
      <c r="Q32" s="3">
        <v>1995538</v>
      </c>
      <c r="R32" s="3"/>
      <c r="S32" s="3">
        <v>164114</v>
      </c>
      <c r="T32" s="3"/>
      <c r="U32" s="3">
        <v>814084</v>
      </c>
      <c r="V32" s="3"/>
      <c r="W32" s="3">
        <v>551755</v>
      </c>
      <c r="X32" s="3"/>
      <c r="Y32" s="3">
        <v>0</v>
      </c>
      <c r="Z32" s="3"/>
      <c r="AA32" s="3">
        <v>1378935</v>
      </c>
      <c r="AB32" s="3"/>
      <c r="AC32" s="3" t="s">
        <v>375</v>
      </c>
      <c r="AD32" s="16"/>
      <c r="AE32" s="16" t="s">
        <v>180</v>
      </c>
      <c r="AF32" s="16"/>
      <c r="AG32" s="3">
        <v>0</v>
      </c>
      <c r="AH32" s="3"/>
      <c r="AI32" s="3">
        <v>247383</v>
      </c>
      <c r="AJ32" s="3"/>
      <c r="AK32" s="3">
        <v>0</v>
      </c>
      <c r="AL32" s="3"/>
      <c r="AM32" s="3">
        <v>0</v>
      </c>
      <c r="AN32" s="3"/>
      <c r="AO32" s="3">
        <v>276450</v>
      </c>
      <c r="AP32" s="3"/>
      <c r="AQ32" s="3">
        <v>39857</v>
      </c>
      <c r="AR32" s="3"/>
      <c r="AS32" s="3">
        <v>0</v>
      </c>
      <c r="AT32" s="3"/>
      <c r="AU32" s="3">
        <v>0</v>
      </c>
      <c r="AV32" s="3"/>
      <c r="AW32" s="3"/>
      <c r="AX32" s="3"/>
      <c r="AY32" s="3">
        <v>0</v>
      </c>
      <c r="AZ32" s="3"/>
      <c r="BA32" s="3">
        <f t="shared" si="0"/>
        <v>15703835</v>
      </c>
      <c r="BB32" s="3"/>
      <c r="BC32" s="3">
        <f>+'St of Act-Rev'!AG32-BA32</f>
        <v>1675463</v>
      </c>
      <c r="BD32" s="3"/>
      <c r="BE32" s="3">
        <v>15550555</v>
      </c>
      <c r="BF32" s="3"/>
      <c r="BG32" s="3">
        <f t="shared" si="1"/>
        <v>17226018</v>
      </c>
      <c r="BI32" s="3">
        <f>+'St of Net Assets'!AA32-BG32</f>
        <v>0</v>
      </c>
    </row>
    <row r="33" spans="1:61">
      <c r="A33" s="3" t="s">
        <v>243</v>
      </c>
      <c r="B33" s="16"/>
      <c r="C33" s="16" t="s">
        <v>183</v>
      </c>
      <c r="E33" s="16">
        <v>51128</v>
      </c>
      <c r="G33" s="3">
        <v>331156</v>
      </c>
      <c r="H33" s="3"/>
      <c r="I33" s="3">
        <v>223111</v>
      </c>
      <c r="J33" s="3"/>
      <c r="K33" s="3">
        <v>2858351</v>
      </c>
      <c r="L33" s="3"/>
      <c r="M33" s="3">
        <f>10657+3832</f>
        <v>14489</v>
      </c>
      <c r="N33" s="3"/>
      <c r="O33" s="3">
        <v>156575</v>
      </c>
      <c r="P33" s="3"/>
      <c r="Q33" s="3">
        <v>364640</v>
      </c>
      <c r="R33" s="3"/>
      <c r="S33" s="3">
        <v>39007</v>
      </c>
      <c r="T33" s="3"/>
      <c r="U33" s="3">
        <v>239497</v>
      </c>
      <c r="V33" s="3"/>
      <c r="W33" s="3">
        <v>289539</v>
      </c>
      <c r="X33" s="3"/>
      <c r="Y33" s="3">
        <v>0</v>
      </c>
      <c r="Z33" s="3"/>
      <c r="AA33" s="3">
        <v>646228</v>
      </c>
      <c r="AB33" s="3"/>
      <c r="AC33" s="3" t="s">
        <v>243</v>
      </c>
      <c r="AD33" s="16"/>
      <c r="AE33" s="16" t="s">
        <v>183</v>
      </c>
      <c r="AF33" s="16"/>
      <c r="AG33" s="3">
        <v>0</v>
      </c>
      <c r="AH33" s="3"/>
      <c r="AI33" s="3">
        <v>24185</v>
      </c>
      <c r="AJ33" s="3"/>
      <c r="AK33" s="3">
        <v>0</v>
      </c>
      <c r="AL33" s="3"/>
      <c r="AM33" s="3">
        <v>167198</v>
      </c>
      <c r="AN33" s="3"/>
      <c r="AO33" s="3">
        <v>0</v>
      </c>
      <c r="AP33" s="3"/>
      <c r="AQ33" s="3">
        <v>0</v>
      </c>
      <c r="AR33" s="3"/>
      <c r="AS33" s="3">
        <v>9257</v>
      </c>
      <c r="AT33" s="3"/>
      <c r="AU33" s="3">
        <v>0</v>
      </c>
      <c r="AV33" s="3"/>
      <c r="AW33" s="3"/>
      <c r="AX33" s="3"/>
      <c r="AY33" s="3">
        <v>0</v>
      </c>
      <c r="AZ33" s="3"/>
      <c r="BA33" s="3">
        <f t="shared" si="0"/>
        <v>5363233</v>
      </c>
      <c r="BB33" s="3"/>
      <c r="BC33" s="3">
        <f>+'St of Act-Rev'!AG33-BA33</f>
        <v>182122</v>
      </c>
      <c r="BD33" s="3"/>
      <c r="BE33" s="3">
        <v>2568313</v>
      </c>
      <c r="BF33" s="3"/>
      <c r="BG33" s="3">
        <f t="shared" si="1"/>
        <v>2750435</v>
      </c>
      <c r="BI33" s="3">
        <f>+'St of Net Assets'!AA33-BG33</f>
        <v>0</v>
      </c>
    </row>
    <row r="34" spans="1:61">
      <c r="A34" s="3" t="s">
        <v>293</v>
      </c>
      <c r="B34" s="16"/>
      <c r="C34" s="16" t="s">
        <v>184</v>
      </c>
      <c r="E34" s="16">
        <v>51144</v>
      </c>
      <c r="G34" s="3">
        <v>164128</v>
      </c>
      <c r="H34" s="3"/>
      <c r="I34" s="3">
        <v>0</v>
      </c>
      <c r="J34" s="3"/>
      <c r="K34" s="3">
        <v>5585693</v>
      </c>
      <c r="L34" s="3"/>
      <c r="M34" s="3">
        <v>1435997</v>
      </c>
      <c r="N34" s="3"/>
      <c r="O34" s="3">
        <v>645400</v>
      </c>
      <c r="P34" s="3"/>
      <c r="Q34" s="3">
        <v>803201</v>
      </c>
      <c r="R34" s="3"/>
      <c r="S34" s="3">
        <v>16405</v>
      </c>
      <c r="T34" s="3"/>
      <c r="U34" s="3">
        <v>977645</v>
      </c>
      <c r="V34" s="3"/>
      <c r="W34" s="3">
        <v>413802</v>
      </c>
      <c r="X34" s="3"/>
      <c r="Y34" s="3">
        <v>53767</v>
      </c>
      <c r="Z34" s="3"/>
      <c r="AA34" s="3">
        <v>1236093</v>
      </c>
      <c r="AB34" s="3"/>
      <c r="AC34" s="3" t="s">
        <v>293</v>
      </c>
      <c r="AD34" s="16"/>
      <c r="AE34" s="16" t="s">
        <v>184</v>
      </c>
      <c r="AF34" s="16"/>
      <c r="AG34" s="3">
        <v>0</v>
      </c>
      <c r="AH34" s="3"/>
      <c r="AI34" s="3">
        <v>70074</v>
      </c>
      <c r="AJ34" s="3"/>
      <c r="AK34" s="3">
        <v>0</v>
      </c>
      <c r="AL34" s="3"/>
      <c r="AM34" s="3">
        <v>0</v>
      </c>
      <c r="AN34" s="3"/>
      <c r="AO34" s="3">
        <v>188935</v>
      </c>
      <c r="AP34" s="3"/>
      <c r="AQ34" s="3">
        <v>33984</v>
      </c>
      <c r="AR34" s="3"/>
      <c r="AS34" s="3">
        <v>227273</v>
      </c>
      <c r="AT34" s="3"/>
      <c r="AU34" s="3">
        <v>0</v>
      </c>
      <c r="AV34" s="3"/>
      <c r="AW34" s="3"/>
      <c r="AX34" s="3"/>
      <c r="AY34" s="3">
        <v>0</v>
      </c>
      <c r="AZ34" s="3"/>
      <c r="BA34" s="3">
        <f t="shared" si="0"/>
        <v>11852397</v>
      </c>
      <c r="BB34" s="3"/>
      <c r="BC34" s="3">
        <f>+'St of Act-Rev'!AG34-BA34</f>
        <v>-97085</v>
      </c>
      <c r="BD34" s="3"/>
      <c r="BE34" s="3">
        <v>30974521</v>
      </c>
      <c r="BF34" s="3"/>
      <c r="BG34" s="3">
        <f t="shared" si="1"/>
        <v>30877436</v>
      </c>
      <c r="BI34" s="3">
        <f>+'St of Net Assets'!AA34-BG34</f>
        <v>0</v>
      </c>
    </row>
    <row r="35" spans="1:61">
      <c r="A35" s="3" t="s">
        <v>244</v>
      </c>
      <c r="B35" s="16"/>
      <c r="C35" s="16" t="s">
        <v>185</v>
      </c>
      <c r="E35" s="16">
        <v>51185</v>
      </c>
      <c r="G35" s="3">
        <v>163137</v>
      </c>
      <c r="H35" s="3"/>
      <c r="I35" s="3">
        <v>0</v>
      </c>
      <c r="J35" s="3"/>
      <c r="K35" s="3">
        <v>6045185</v>
      </c>
      <c r="L35" s="3"/>
      <c r="M35" s="3">
        <v>2085270</v>
      </c>
      <c r="N35" s="3"/>
      <c r="O35" s="3">
        <v>536205</v>
      </c>
      <c r="P35" s="3"/>
      <c r="Q35" s="3">
        <v>265875</v>
      </c>
      <c r="R35" s="3"/>
      <c r="S35" s="3">
        <v>47235</v>
      </c>
      <c r="T35" s="3"/>
      <c r="U35" s="3">
        <v>785680</v>
      </c>
      <c r="V35" s="3"/>
      <c r="W35" s="3">
        <v>593973</v>
      </c>
      <c r="X35" s="3"/>
      <c r="Y35" s="3">
        <v>0</v>
      </c>
      <c r="Z35" s="3"/>
      <c r="AA35" s="3">
        <v>842934</v>
      </c>
      <c r="AB35" s="3"/>
      <c r="AC35" s="3" t="s">
        <v>244</v>
      </c>
      <c r="AD35" s="16"/>
      <c r="AE35" s="16" t="s">
        <v>185</v>
      </c>
      <c r="AF35" s="16"/>
      <c r="AG35" s="3">
        <v>0</v>
      </c>
      <c r="AH35" s="3"/>
      <c r="AI35" s="3">
        <v>318070</v>
      </c>
      <c r="AJ35" s="3"/>
      <c r="AK35" s="3">
        <v>0</v>
      </c>
      <c r="AL35" s="3"/>
      <c r="AM35" s="3">
        <v>290806</v>
      </c>
      <c r="AN35" s="3"/>
      <c r="AO35" s="3">
        <v>1190292</v>
      </c>
      <c r="AP35" s="3"/>
      <c r="AQ35" s="3">
        <v>44972</v>
      </c>
      <c r="AR35" s="3"/>
      <c r="AS35" s="3">
        <v>53069</v>
      </c>
      <c r="AT35" s="3"/>
      <c r="AU35" s="3">
        <v>0</v>
      </c>
      <c r="AV35" s="3"/>
      <c r="AW35" s="3"/>
      <c r="AX35" s="3"/>
      <c r="AY35" s="3">
        <v>0</v>
      </c>
      <c r="AZ35" s="3"/>
      <c r="BA35" s="3">
        <f t="shared" si="0"/>
        <v>13262703</v>
      </c>
      <c r="BB35" s="3"/>
      <c r="BC35" s="3">
        <f>+'St of Act-Rev'!AG35-BA35</f>
        <v>-1112137</v>
      </c>
      <c r="BD35" s="3"/>
      <c r="BE35" s="3">
        <v>9698383</v>
      </c>
      <c r="BF35" s="3"/>
      <c r="BG35" s="3">
        <f t="shared" si="1"/>
        <v>8586246</v>
      </c>
      <c r="BI35" s="3">
        <f>+'St of Net Assets'!AA35-BG35</f>
        <v>0</v>
      </c>
    </row>
    <row r="36" spans="1:61" hidden="1">
      <c r="A36" s="3" t="s">
        <v>319</v>
      </c>
      <c r="B36" s="16"/>
      <c r="C36" s="16" t="s">
        <v>187</v>
      </c>
      <c r="E36" s="16">
        <v>47977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6" t="s">
        <v>186</v>
      </c>
      <c r="AD36" s="16"/>
      <c r="AE36" s="16" t="s">
        <v>187</v>
      </c>
      <c r="AF36" s="16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>
        <f t="shared" si="0"/>
        <v>0</v>
      </c>
      <c r="BB36" s="3"/>
      <c r="BC36" s="3">
        <f>+'St of Act-Rev'!AG36-BA36</f>
        <v>0</v>
      </c>
      <c r="BD36" s="3"/>
      <c r="BE36" s="3"/>
      <c r="BF36" s="3"/>
      <c r="BG36" s="3">
        <f t="shared" si="1"/>
        <v>0</v>
      </c>
      <c r="BI36" s="3">
        <f>+'St of Net Assets'!AA36-BG36</f>
        <v>0</v>
      </c>
    </row>
    <row r="37" spans="1:61">
      <c r="A37" s="3" t="s">
        <v>246</v>
      </c>
      <c r="B37" s="16"/>
      <c r="C37" s="16" t="s">
        <v>150</v>
      </c>
      <c r="E37" s="16">
        <v>51227</v>
      </c>
      <c r="G37" s="3">
        <v>1975210</v>
      </c>
      <c r="H37" s="3"/>
      <c r="I37" s="3">
        <v>6962</v>
      </c>
      <c r="J37" s="3"/>
      <c r="K37" s="3">
        <v>10257271</v>
      </c>
      <c r="L37" s="3"/>
      <c r="M37" s="3">
        <v>1750012</v>
      </c>
      <c r="N37" s="3"/>
      <c r="O37" s="3">
        <v>1625549</v>
      </c>
      <c r="P37" s="3"/>
      <c r="Q37" s="3">
        <v>1782222</v>
      </c>
      <c r="R37" s="3"/>
      <c r="S37" s="3">
        <v>36640</v>
      </c>
      <c r="T37" s="3"/>
      <c r="U37" s="3">
        <v>1535955</v>
      </c>
      <c r="V37" s="3"/>
      <c r="W37" s="3">
        <v>673068</v>
      </c>
      <c r="X37" s="3"/>
      <c r="Y37" s="3">
        <v>137268</v>
      </c>
      <c r="Z37" s="3"/>
      <c r="AA37" s="3">
        <v>3007047</v>
      </c>
      <c r="AB37" s="3"/>
      <c r="AC37" s="3" t="s">
        <v>246</v>
      </c>
      <c r="AD37" s="16"/>
      <c r="AE37" s="16" t="s">
        <v>150</v>
      </c>
      <c r="AF37" s="16"/>
      <c r="AG37" s="3">
        <v>68608</v>
      </c>
      <c r="AH37" s="3"/>
      <c r="AI37" s="3">
        <v>434044</v>
      </c>
      <c r="AJ37" s="3"/>
      <c r="AK37" s="3">
        <v>0</v>
      </c>
      <c r="AL37" s="3"/>
      <c r="AM37" s="3">
        <v>0</v>
      </c>
      <c r="AN37" s="3"/>
      <c r="AO37" s="3">
        <v>550027</v>
      </c>
      <c r="AP37" s="3"/>
      <c r="AQ37" s="3">
        <v>306237</v>
      </c>
      <c r="AR37" s="3"/>
      <c r="AS37" s="3">
        <v>0</v>
      </c>
      <c r="AT37" s="3"/>
      <c r="AU37" s="3">
        <v>0</v>
      </c>
      <c r="AV37" s="3"/>
      <c r="AW37" s="3"/>
      <c r="AX37" s="3"/>
      <c r="AY37" s="3">
        <v>0</v>
      </c>
      <c r="AZ37" s="3"/>
      <c r="BA37" s="3">
        <f t="shared" si="0"/>
        <v>24146120</v>
      </c>
      <c r="BB37" s="3"/>
      <c r="BC37" s="3">
        <f>+'St of Act-Rev'!AG37-BA37</f>
        <v>-80256</v>
      </c>
      <c r="BD37" s="3"/>
      <c r="BE37" s="3">
        <v>18517503</v>
      </c>
      <c r="BF37" s="3"/>
      <c r="BG37" s="3">
        <f t="shared" si="1"/>
        <v>18437247</v>
      </c>
      <c r="BI37" s="3">
        <f>+'St of Net Assets'!AA37-BG37</f>
        <v>0</v>
      </c>
    </row>
    <row r="38" spans="1:61">
      <c r="A38" s="3" t="s">
        <v>249</v>
      </c>
      <c r="B38" s="16"/>
      <c r="C38" s="16" t="s">
        <v>191</v>
      </c>
      <c r="D38" s="24"/>
      <c r="E38" s="16">
        <v>51243</v>
      </c>
      <c r="F38" s="24"/>
      <c r="G38" s="3">
        <v>1106828</v>
      </c>
      <c r="H38" s="3"/>
      <c r="I38" s="3">
        <v>0</v>
      </c>
      <c r="J38" s="3"/>
      <c r="K38" s="3">
        <v>3508479</v>
      </c>
      <c r="L38" s="3"/>
      <c r="M38" s="3">
        <v>552421</v>
      </c>
      <c r="N38" s="3"/>
      <c r="O38" s="3">
        <v>978747</v>
      </c>
      <c r="P38" s="3"/>
      <c r="Q38" s="3">
        <v>1030907</v>
      </c>
      <c r="R38" s="3"/>
      <c r="S38" s="3">
        <v>36082</v>
      </c>
      <c r="T38" s="3"/>
      <c r="U38" s="3">
        <v>726351</v>
      </c>
      <c r="V38" s="3"/>
      <c r="W38" s="3">
        <v>312105</v>
      </c>
      <c r="X38" s="3"/>
      <c r="Y38" s="3">
        <v>1597</v>
      </c>
      <c r="Z38" s="3"/>
      <c r="AA38" s="3">
        <v>1015083</v>
      </c>
      <c r="AB38" s="3"/>
      <c r="AC38" s="3" t="s">
        <v>249</v>
      </c>
      <c r="AD38" s="16"/>
      <c r="AE38" s="16" t="s">
        <v>191</v>
      </c>
      <c r="AF38" s="16"/>
      <c r="AG38" s="3">
        <v>41024</v>
      </c>
      <c r="AH38" s="3"/>
      <c r="AI38" s="3">
        <v>137738</v>
      </c>
      <c r="AJ38" s="3"/>
      <c r="AK38" s="3">
        <v>0</v>
      </c>
      <c r="AL38" s="3"/>
      <c r="AM38" s="3">
        <v>239048</v>
      </c>
      <c r="AN38" s="3"/>
      <c r="AO38" s="3">
        <v>667</v>
      </c>
      <c r="AP38" s="3"/>
      <c r="AQ38" s="3">
        <v>60289</v>
      </c>
      <c r="AR38" s="3"/>
      <c r="AS38" s="3">
        <v>1088666</v>
      </c>
      <c r="AT38" s="3"/>
      <c r="AU38" s="3">
        <v>0</v>
      </c>
      <c r="AV38" s="3"/>
      <c r="AW38" s="3"/>
      <c r="AX38" s="3"/>
      <c r="AY38" s="3">
        <v>0</v>
      </c>
      <c r="AZ38" s="3"/>
      <c r="BA38" s="3">
        <f t="shared" si="0"/>
        <v>10836032</v>
      </c>
      <c r="BB38" s="3"/>
      <c r="BC38" s="3">
        <f>+'St of Act-Rev'!AG38-BA38</f>
        <v>4192586</v>
      </c>
      <c r="BD38" s="3"/>
      <c r="BE38" s="3">
        <v>29689147</v>
      </c>
      <c r="BF38" s="3"/>
      <c r="BG38" s="3">
        <f t="shared" si="1"/>
        <v>33881733</v>
      </c>
      <c r="BI38" s="3">
        <f>+'St of Net Assets'!AA38-BG38</f>
        <v>0</v>
      </c>
    </row>
    <row r="39" spans="1:61">
      <c r="A39" s="3" t="s">
        <v>294</v>
      </c>
      <c r="B39" s="16"/>
      <c r="C39" s="16" t="s">
        <v>207</v>
      </c>
      <c r="D39" s="24"/>
      <c r="E39" s="16">
        <v>51391</v>
      </c>
      <c r="F39" s="24"/>
      <c r="G39" s="3">
        <v>1549605</v>
      </c>
      <c r="H39" s="3"/>
      <c r="I39" s="3">
        <v>0</v>
      </c>
      <c r="J39" s="3"/>
      <c r="K39" s="3">
        <v>5784359</v>
      </c>
      <c r="L39" s="3"/>
      <c r="M39" s="3">
        <v>116745</v>
      </c>
      <c r="N39" s="3"/>
      <c r="O39" s="3">
        <v>1127893</v>
      </c>
      <c r="P39" s="3"/>
      <c r="Q39" s="3">
        <v>652806</v>
      </c>
      <c r="R39" s="3"/>
      <c r="S39" s="3">
        <v>139935</v>
      </c>
      <c r="T39" s="3"/>
      <c r="U39" s="3">
        <v>959324</v>
      </c>
      <c r="V39" s="3"/>
      <c r="W39" s="3">
        <v>595455</v>
      </c>
      <c r="X39" s="3"/>
      <c r="Y39" s="3">
        <v>276625</v>
      </c>
      <c r="Z39" s="3"/>
      <c r="AA39" s="3">
        <v>1589596</v>
      </c>
      <c r="AB39" s="3"/>
      <c r="AC39" s="3" t="s">
        <v>294</v>
      </c>
      <c r="AD39" s="16"/>
      <c r="AE39" s="16" t="s">
        <v>207</v>
      </c>
      <c r="AF39" s="16"/>
      <c r="AG39" s="3">
        <v>30516</v>
      </c>
      <c r="AH39" s="3"/>
      <c r="AI39" s="3">
        <v>411590</v>
      </c>
      <c r="AJ39" s="3"/>
      <c r="AK39" s="3">
        <v>0</v>
      </c>
      <c r="AL39" s="3"/>
      <c r="AM39" s="3">
        <v>352290</v>
      </c>
      <c r="AN39" s="3"/>
      <c r="AO39" s="3">
        <v>50821</v>
      </c>
      <c r="AP39" s="3"/>
      <c r="AQ39" s="3">
        <v>31121</v>
      </c>
      <c r="AR39" s="3"/>
      <c r="AS39" s="3">
        <v>0</v>
      </c>
      <c r="AT39" s="3"/>
      <c r="AU39" s="3">
        <v>0</v>
      </c>
      <c r="AV39" s="3"/>
      <c r="AW39" s="3"/>
      <c r="AX39" s="3"/>
      <c r="AY39" s="3">
        <v>0</v>
      </c>
      <c r="AZ39" s="3"/>
      <c r="BA39" s="3">
        <f t="shared" si="0"/>
        <v>13668681</v>
      </c>
      <c r="BB39" s="3"/>
      <c r="BC39" s="3">
        <f>+'St of Act-Rev'!AG39-BA39</f>
        <v>1327918</v>
      </c>
      <c r="BD39" s="3"/>
      <c r="BE39" s="3">
        <v>26900211</v>
      </c>
      <c r="BF39" s="3"/>
      <c r="BG39" s="3">
        <f t="shared" si="1"/>
        <v>28228129</v>
      </c>
      <c r="BI39" s="3">
        <f>+'St of Net Assets'!AA39-BG39</f>
        <v>0</v>
      </c>
    </row>
    <row r="40" spans="1:61">
      <c r="A40" s="3" t="s">
        <v>252</v>
      </c>
      <c r="B40" s="16"/>
      <c r="C40" s="16" t="s">
        <v>193</v>
      </c>
      <c r="D40" s="24"/>
      <c r="E40" s="16">
        <v>62109</v>
      </c>
      <c r="F40" s="24"/>
      <c r="G40" s="3">
        <v>2408846</v>
      </c>
      <c r="H40" s="3"/>
      <c r="I40" s="3">
        <v>480128</v>
      </c>
      <c r="J40" s="3"/>
      <c r="K40" s="3">
        <v>5492879</v>
      </c>
      <c r="L40" s="3"/>
      <c r="M40" s="3">
        <v>144001</v>
      </c>
      <c r="N40" s="3"/>
      <c r="O40" s="3">
        <v>1831666</v>
      </c>
      <c r="P40" s="3"/>
      <c r="Q40" s="3">
        <v>827670</v>
      </c>
      <c r="R40" s="3"/>
      <c r="S40" s="3">
        <v>36179</v>
      </c>
      <c r="T40" s="3"/>
      <c r="U40" s="3">
        <v>1639169</v>
      </c>
      <c r="V40" s="3"/>
      <c r="W40" s="3">
        <v>517156</v>
      </c>
      <c r="X40" s="3"/>
      <c r="Y40" s="3">
        <v>183235</v>
      </c>
      <c r="Z40" s="3"/>
      <c r="AA40" s="3">
        <v>2004529</v>
      </c>
      <c r="AB40" s="3"/>
      <c r="AC40" s="3" t="s">
        <v>252</v>
      </c>
      <c r="AD40" s="16"/>
      <c r="AE40" s="16" t="s">
        <v>193</v>
      </c>
      <c r="AF40" s="16"/>
      <c r="AG40" s="3">
        <v>48173</v>
      </c>
      <c r="AH40" s="3"/>
      <c r="AI40" s="3">
        <v>125639</v>
      </c>
      <c r="AJ40" s="3"/>
      <c r="AK40" s="3">
        <v>0</v>
      </c>
      <c r="AL40" s="3"/>
      <c r="AM40" s="3">
        <v>0</v>
      </c>
      <c r="AN40" s="3"/>
      <c r="AO40" s="3">
        <v>73501</v>
      </c>
      <c r="AP40" s="3"/>
      <c r="AQ40" s="3">
        <v>16706</v>
      </c>
      <c r="AR40" s="3"/>
      <c r="AS40" s="3">
        <v>0</v>
      </c>
      <c r="AT40" s="3"/>
      <c r="AU40" s="3">
        <v>80000</v>
      </c>
      <c r="AV40" s="3"/>
      <c r="AW40" s="3"/>
      <c r="AX40" s="3"/>
      <c r="AY40" s="3">
        <v>0</v>
      </c>
      <c r="AZ40" s="3"/>
      <c r="BA40" s="3">
        <f t="shared" si="0"/>
        <v>15909477</v>
      </c>
      <c r="BB40" s="3"/>
      <c r="BC40" s="3">
        <f>+'St of Act-Rev'!AG40-BA40</f>
        <v>1379494</v>
      </c>
      <c r="BD40" s="3"/>
      <c r="BE40" s="3">
        <v>12464464</v>
      </c>
      <c r="BF40" s="3"/>
      <c r="BG40" s="3">
        <f t="shared" si="1"/>
        <v>13843958</v>
      </c>
      <c r="BI40" s="3">
        <f>+'St of Net Assets'!AA40-BG40</f>
        <v>0</v>
      </c>
    </row>
    <row r="41" spans="1:61">
      <c r="A41" s="3" t="s">
        <v>295</v>
      </c>
      <c r="B41" s="16"/>
      <c r="C41" s="16" t="s">
        <v>199</v>
      </c>
      <c r="D41" s="24"/>
      <c r="E41" s="16">
        <v>51284</v>
      </c>
      <c r="F41" s="24"/>
      <c r="G41" s="3">
        <v>5185076</v>
      </c>
      <c r="H41" s="3"/>
      <c r="I41" s="3">
        <v>372703</v>
      </c>
      <c r="J41" s="3"/>
      <c r="K41" s="3">
        <v>12149256</v>
      </c>
      <c r="L41" s="3"/>
      <c r="M41" s="3">
        <v>4539441</v>
      </c>
      <c r="N41" s="3"/>
      <c r="O41" s="3">
        <v>1610506</v>
      </c>
      <c r="P41" s="3"/>
      <c r="Q41" s="3">
        <v>1683938</v>
      </c>
      <c r="R41" s="3"/>
      <c r="S41" s="3">
        <v>52959</v>
      </c>
      <c r="T41" s="3"/>
      <c r="U41" s="3">
        <v>2518493</v>
      </c>
      <c r="V41" s="3"/>
      <c r="W41" s="3">
        <v>803284</v>
      </c>
      <c r="X41" s="3"/>
      <c r="Y41" s="3">
        <v>499770</v>
      </c>
      <c r="Z41" s="3"/>
      <c r="AA41" s="3">
        <v>4083588</v>
      </c>
      <c r="AB41" s="3"/>
      <c r="AC41" s="3" t="s">
        <v>295</v>
      </c>
      <c r="AD41" s="16"/>
      <c r="AE41" s="16" t="s">
        <v>199</v>
      </c>
      <c r="AF41" s="16"/>
      <c r="AG41" s="3">
        <v>90385</v>
      </c>
      <c r="AH41" s="3"/>
      <c r="AI41" s="3">
        <v>2576844</v>
      </c>
      <c r="AJ41" s="3"/>
      <c r="AK41" s="3">
        <v>0</v>
      </c>
      <c r="AL41" s="3"/>
      <c r="AM41" s="3">
        <v>0</v>
      </c>
      <c r="AN41" s="3"/>
      <c r="AO41" s="3">
        <v>0</v>
      </c>
      <c r="AP41" s="3"/>
      <c r="AQ41" s="3">
        <v>111520</v>
      </c>
      <c r="AR41" s="3"/>
      <c r="AS41" s="3">
        <v>327324</v>
      </c>
      <c r="AT41" s="3"/>
      <c r="AU41" s="3">
        <v>0</v>
      </c>
      <c r="AV41" s="3"/>
      <c r="AW41" s="3"/>
      <c r="AX41" s="3"/>
      <c r="AY41" s="3">
        <v>0</v>
      </c>
      <c r="AZ41" s="3"/>
      <c r="BA41" s="3">
        <f t="shared" si="0"/>
        <v>36605087</v>
      </c>
      <c r="BB41" s="3"/>
      <c r="BC41" s="3">
        <f>+'St of Act-Rev'!AG41-BA41</f>
        <v>-799838</v>
      </c>
      <c r="BD41" s="3"/>
      <c r="BE41" s="3">
        <v>18323100</v>
      </c>
      <c r="BF41" s="3"/>
      <c r="BG41" s="3">
        <f t="shared" si="1"/>
        <v>17523262</v>
      </c>
      <c r="BI41" s="3">
        <f>+'St of Net Assets'!AA41-BG41</f>
        <v>0</v>
      </c>
    </row>
    <row r="42" spans="1:61">
      <c r="A42" s="3" t="s">
        <v>296</v>
      </c>
      <c r="B42" s="16"/>
      <c r="C42" s="16" t="s">
        <v>201</v>
      </c>
      <c r="D42" s="24"/>
      <c r="E42" s="16">
        <v>51300</v>
      </c>
      <c r="F42" s="24"/>
      <c r="G42" s="3">
        <v>1972269</v>
      </c>
      <c r="H42" s="3"/>
      <c r="I42" s="3">
        <v>0</v>
      </c>
      <c r="J42" s="3"/>
      <c r="K42" s="3">
        <v>6661896</v>
      </c>
      <c r="L42" s="3"/>
      <c r="M42" s="3">
        <v>3037354</v>
      </c>
      <c r="N42" s="3"/>
      <c r="O42" s="3">
        <v>1057825</v>
      </c>
      <c r="P42" s="3"/>
      <c r="Q42" s="3">
        <v>697063</v>
      </c>
      <c r="R42" s="3"/>
      <c r="S42" s="3">
        <v>80062</v>
      </c>
      <c r="T42" s="3"/>
      <c r="U42" s="3">
        <v>1386365</v>
      </c>
      <c r="V42" s="3"/>
      <c r="W42" s="3">
        <v>760188</v>
      </c>
      <c r="X42" s="3"/>
      <c r="Y42" s="3">
        <v>228060</v>
      </c>
      <c r="Z42" s="3"/>
      <c r="AA42" s="3">
        <v>1281298</v>
      </c>
      <c r="AB42" s="3"/>
      <c r="AC42" s="3" t="s">
        <v>296</v>
      </c>
      <c r="AD42" s="16"/>
      <c r="AE42" s="16" t="s">
        <v>201</v>
      </c>
      <c r="AF42" s="16"/>
      <c r="AG42" s="3">
        <v>76607</v>
      </c>
      <c r="AH42" s="3"/>
      <c r="AI42" s="3">
        <v>478656</v>
      </c>
      <c r="AJ42" s="3"/>
      <c r="AK42" s="3">
        <v>0</v>
      </c>
      <c r="AL42" s="3"/>
      <c r="AM42" s="3">
        <v>362572</v>
      </c>
      <c r="AN42" s="3"/>
      <c r="AO42" s="3">
        <v>0</v>
      </c>
      <c r="AP42" s="3"/>
      <c r="AQ42" s="3">
        <v>94108</v>
      </c>
      <c r="AR42" s="3"/>
      <c r="AS42" s="3">
        <v>414292</v>
      </c>
      <c r="AT42" s="3"/>
      <c r="AU42" s="3">
        <v>0</v>
      </c>
      <c r="AV42" s="3"/>
      <c r="AW42" s="3"/>
      <c r="AX42" s="3"/>
      <c r="AY42" s="3">
        <v>0</v>
      </c>
      <c r="AZ42" s="3"/>
      <c r="BA42" s="3">
        <f t="shared" si="0"/>
        <v>18588615</v>
      </c>
      <c r="BB42" s="3"/>
      <c r="BC42" s="3">
        <f>+'St of Act-Rev'!AG42-BA42</f>
        <v>26005619</v>
      </c>
      <c r="BD42" s="3"/>
      <c r="BE42" s="3">
        <v>18960792</v>
      </c>
      <c r="BF42" s="3"/>
      <c r="BG42" s="3">
        <f t="shared" si="1"/>
        <v>44966411</v>
      </c>
      <c r="BI42" s="3">
        <f>+'St of Net Assets'!AA42-BG42</f>
        <v>0</v>
      </c>
    </row>
    <row r="43" spans="1:61">
      <c r="A43" s="3" t="s">
        <v>245</v>
      </c>
      <c r="B43" s="16"/>
      <c r="C43" s="16" t="s">
        <v>188</v>
      </c>
      <c r="E43" s="16">
        <v>51334</v>
      </c>
      <c r="G43" s="3">
        <v>1305599</v>
      </c>
      <c r="H43" s="3"/>
      <c r="I43" s="3">
        <v>624923</v>
      </c>
      <c r="J43" s="3"/>
      <c r="K43" s="3">
        <v>4871153</v>
      </c>
      <c r="L43" s="3"/>
      <c r="M43" s="3">
        <f>1597849+71260</f>
        <v>1669109</v>
      </c>
      <c r="N43" s="3"/>
      <c r="O43" s="3">
        <v>767667</v>
      </c>
      <c r="P43" s="3"/>
      <c r="Q43" s="3">
        <v>434956</v>
      </c>
      <c r="R43" s="3"/>
      <c r="S43" s="3">
        <v>44161</v>
      </c>
      <c r="T43" s="3"/>
      <c r="U43" s="3">
        <v>866902</v>
      </c>
      <c r="V43" s="3"/>
      <c r="W43" s="3">
        <v>270188</v>
      </c>
      <c r="X43" s="3"/>
      <c r="Y43" s="3">
        <v>977371</v>
      </c>
      <c r="Z43" s="3"/>
      <c r="AA43" s="3">
        <v>1503989</v>
      </c>
      <c r="AB43" s="3"/>
      <c r="AC43" s="3" t="s">
        <v>245</v>
      </c>
      <c r="AD43" s="16"/>
      <c r="AE43" s="16" t="s">
        <v>188</v>
      </c>
      <c r="AF43" s="16"/>
      <c r="AG43" s="3">
        <v>60292</v>
      </c>
      <c r="AH43" s="3"/>
      <c r="AI43" s="3">
        <v>778097</v>
      </c>
      <c r="AJ43" s="3"/>
      <c r="AK43" s="3">
        <v>0</v>
      </c>
      <c r="AL43" s="3"/>
      <c r="AM43" s="3">
        <v>0</v>
      </c>
      <c r="AN43" s="3"/>
      <c r="AO43" s="3">
        <v>280498</v>
      </c>
      <c r="AP43" s="3"/>
      <c r="AQ43" s="3">
        <v>0</v>
      </c>
      <c r="AR43" s="3"/>
      <c r="AS43" s="3">
        <v>58729</v>
      </c>
      <c r="AT43" s="3"/>
      <c r="AU43" s="3">
        <v>0</v>
      </c>
      <c r="AV43" s="3"/>
      <c r="AW43" s="3"/>
      <c r="AX43" s="3"/>
      <c r="AY43" s="3">
        <v>0</v>
      </c>
      <c r="AZ43" s="3"/>
      <c r="BA43" s="3">
        <f t="shared" si="0"/>
        <v>14513634</v>
      </c>
      <c r="BB43" s="3"/>
      <c r="BC43" s="3">
        <f>+'St of Act-Rev'!AG43-BA43</f>
        <v>936885</v>
      </c>
      <c r="BD43" s="3"/>
      <c r="BE43" s="3">
        <v>12491576</v>
      </c>
      <c r="BF43" s="3"/>
      <c r="BG43" s="3">
        <f t="shared" si="1"/>
        <v>13428461</v>
      </c>
      <c r="BI43" s="3">
        <f>+'St of Net Assets'!AA43-BG43</f>
        <v>0</v>
      </c>
    </row>
    <row r="44" spans="1:61">
      <c r="A44" s="3" t="s">
        <v>297</v>
      </c>
      <c r="B44" s="16"/>
      <c r="C44" s="16" t="s">
        <v>236</v>
      </c>
      <c r="D44" s="24"/>
      <c r="E44" s="16">
        <v>51359</v>
      </c>
      <c r="F44" s="24"/>
      <c r="G44" s="3">
        <v>0</v>
      </c>
      <c r="H44" s="3"/>
      <c r="I44" s="3">
        <v>613142</v>
      </c>
      <c r="J44" s="3"/>
      <c r="K44" s="3">
        <v>16782335</v>
      </c>
      <c r="L44" s="3"/>
      <c r="M44" s="3">
        <f>863297+678822</f>
        <v>1542119</v>
      </c>
      <c r="N44" s="3"/>
      <c r="O44" s="3">
        <v>2808118</v>
      </c>
      <c r="P44" s="3"/>
      <c r="Q44" s="3">
        <v>2508316</v>
      </c>
      <c r="R44" s="3"/>
      <c r="S44" s="3">
        <v>98682</v>
      </c>
      <c r="T44" s="3"/>
      <c r="U44" s="3">
        <v>1198959</v>
      </c>
      <c r="V44" s="3"/>
      <c r="W44" s="3">
        <v>650060</v>
      </c>
      <c r="X44" s="3"/>
      <c r="Y44" s="3">
        <v>0</v>
      </c>
      <c r="Z44" s="3"/>
      <c r="AA44" s="3">
        <v>2960035</v>
      </c>
      <c r="AB44" s="3"/>
      <c r="AC44" s="3" t="s">
        <v>297</v>
      </c>
      <c r="AD44" s="16"/>
      <c r="AE44" s="16" t="s">
        <v>236</v>
      </c>
      <c r="AF44" s="16"/>
      <c r="AG44" s="3">
        <v>0</v>
      </c>
      <c r="AH44" s="3"/>
      <c r="AI44" s="3">
        <v>243257</v>
      </c>
      <c r="AJ44" s="3"/>
      <c r="AK44" s="3">
        <v>0</v>
      </c>
      <c r="AL44" s="3"/>
      <c r="AM44" s="3">
        <v>795636</v>
      </c>
      <c r="AN44" s="3"/>
      <c r="AO44" s="3">
        <v>200922</v>
      </c>
      <c r="AP44" s="3"/>
      <c r="AQ44" s="3">
        <v>161645</v>
      </c>
      <c r="AR44" s="3"/>
      <c r="AS44" s="3">
        <v>2723721</v>
      </c>
      <c r="AT44" s="3"/>
      <c r="AU44" s="3">
        <v>0</v>
      </c>
      <c r="AV44" s="3"/>
      <c r="AW44" s="3">
        <v>0</v>
      </c>
      <c r="AX44" s="3"/>
      <c r="AY44" s="3">
        <v>0</v>
      </c>
      <c r="AZ44" s="3"/>
      <c r="BA44" s="3">
        <f t="shared" si="0"/>
        <v>33286947</v>
      </c>
      <c r="BB44" s="3"/>
      <c r="BC44" s="3">
        <f>+'St of Act-Rev'!AG44-BA44</f>
        <v>1724108</v>
      </c>
      <c r="BD44" s="3"/>
      <c r="BE44" s="3">
        <v>48838501</v>
      </c>
      <c r="BF44" s="3"/>
      <c r="BG44" s="3">
        <f t="shared" si="1"/>
        <v>50562609</v>
      </c>
      <c r="BI44" s="3">
        <f>+'St of Net Assets'!AA44-BG44</f>
        <v>0</v>
      </c>
    </row>
    <row r="45" spans="1:61">
      <c r="A45" s="3" t="s">
        <v>298</v>
      </c>
      <c r="B45" s="16"/>
      <c r="C45" s="16" t="s">
        <v>214</v>
      </c>
      <c r="D45" s="24"/>
      <c r="E45" s="16">
        <v>51433</v>
      </c>
      <c r="F45" s="24"/>
      <c r="G45" s="3">
        <v>1027825</v>
      </c>
      <c r="H45" s="3"/>
      <c r="I45" s="3">
        <v>0</v>
      </c>
      <c r="J45" s="3"/>
      <c r="K45" s="3">
        <v>14319423</v>
      </c>
      <c r="L45" s="3"/>
      <c r="M45" s="3">
        <v>1813</v>
      </c>
      <c r="N45" s="3"/>
      <c r="O45" s="3">
        <v>1778906</v>
      </c>
      <c r="P45" s="3"/>
      <c r="Q45" s="3">
        <v>1248996</v>
      </c>
      <c r="R45" s="3"/>
      <c r="S45" s="3">
        <v>55696</v>
      </c>
      <c r="T45" s="3"/>
      <c r="U45" s="3">
        <v>442631</v>
      </c>
      <c r="V45" s="3"/>
      <c r="W45" s="3">
        <v>539504</v>
      </c>
      <c r="X45" s="3"/>
      <c r="Y45" s="3">
        <v>11363</v>
      </c>
      <c r="Z45" s="3"/>
      <c r="AA45" s="3">
        <v>1256668</v>
      </c>
      <c r="AB45" s="3"/>
      <c r="AC45" s="3" t="s">
        <v>298</v>
      </c>
      <c r="AD45" s="16"/>
      <c r="AE45" s="16" t="s">
        <v>214</v>
      </c>
      <c r="AF45" s="16"/>
      <c r="AG45" s="3">
        <v>14551</v>
      </c>
      <c r="AH45" s="3"/>
      <c r="AI45" s="3">
        <v>41039</v>
      </c>
      <c r="AJ45" s="3"/>
      <c r="AK45" s="3">
        <v>0</v>
      </c>
      <c r="AL45" s="3"/>
      <c r="AM45" s="3">
        <v>0</v>
      </c>
      <c r="AN45" s="3"/>
      <c r="AO45" s="3">
        <v>303739</v>
      </c>
      <c r="AP45" s="3"/>
      <c r="AQ45" s="3">
        <v>25694</v>
      </c>
      <c r="AR45" s="3"/>
      <c r="AS45" s="3">
        <v>0</v>
      </c>
      <c r="AT45" s="3"/>
      <c r="AU45" s="3">
        <v>0</v>
      </c>
      <c r="AV45" s="3"/>
      <c r="AW45" s="3">
        <v>0</v>
      </c>
      <c r="AX45" s="3"/>
      <c r="AY45" s="3">
        <v>0</v>
      </c>
      <c r="AZ45" s="3"/>
      <c r="BA45" s="3">
        <f t="shared" si="0"/>
        <v>21067848</v>
      </c>
      <c r="BB45" s="3"/>
      <c r="BC45" s="3">
        <f>+'St of Act-Rev'!AG45-BA45</f>
        <v>794450</v>
      </c>
      <c r="BD45" s="3"/>
      <c r="BE45" s="3">
        <v>25548831</v>
      </c>
      <c r="BF45" s="3"/>
      <c r="BG45" s="3">
        <f t="shared" si="1"/>
        <v>26343281</v>
      </c>
      <c r="BI45" s="3">
        <f>+'St of Net Assets'!AA45-BG45</f>
        <v>0</v>
      </c>
    </row>
    <row r="46" spans="1:61">
      <c r="A46" s="3" t="s">
        <v>299</v>
      </c>
      <c r="B46" s="16"/>
      <c r="C46" s="16" t="s">
        <v>254</v>
      </c>
      <c r="D46" s="24"/>
      <c r="E46" s="16">
        <v>51375</v>
      </c>
      <c r="F46" s="24"/>
      <c r="G46" s="3">
        <v>882</v>
      </c>
      <c r="H46" s="3"/>
      <c r="I46" s="3">
        <v>127944</v>
      </c>
      <c r="J46" s="3"/>
      <c r="K46" s="3">
        <v>4384954</v>
      </c>
      <c r="L46" s="3"/>
      <c r="M46" s="3">
        <v>437898</v>
      </c>
      <c r="N46" s="3"/>
      <c r="O46" s="3">
        <v>443531</v>
      </c>
      <c r="P46" s="3"/>
      <c r="Q46" s="3">
        <v>353702</v>
      </c>
      <c r="R46" s="3"/>
      <c r="S46" s="3">
        <v>77634</v>
      </c>
      <c r="T46" s="3"/>
      <c r="U46" s="3">
        <v>532861</v>
      </c>
      <c r="V46" s="3"/>
      <c r="W46" s="3">
        <v>367795</v>
      </c>
      <c r="X46" s="3"/>
      <c r="Y46" s="3">
        <v>0</v>
      </c>
      <c r="Z46" s="3"/>
      <c r="AA46" s="3">
        <v>775179</v>
      </c>
      <c r="AB46" s="3"/>
      <c r="AC46" s="3" t="s">
        <v>299</v>
      </c>
      <c r="AD46" s="16"/>
      <c r="AE46" s="16" t="s">
        <v>254</v>
      </c>
      <c r="AF46" s="16"/>
      <c r="AG46" s="3">
        <v>25682</v>
      </c>
      <c r="AH46" s="3"/>
      <c r="AI46" s="3">
        <v>234994</v>
      </c>
      <c r="AJ46" s="3"/>
      <c r="AK46" s="3">
        <v>0</v>
      </c>
      <c r="AL46" s="3"/>
      <c r="AM46" s="3">
        <v>0</v>
      </c>
      <c r="AN46" s="3"/>
      <c r="AO46" s="3">
        <v>614996</v>
      </c>
      <c r="AP46" s="3"/>
      <c r="AQ46" s="3">
        <v>1692</v>
      </c>
      <c r="AR46" s="3"/>
      <c r="AS46" s="3">
        <v>181880</v>
      </c>
      <c r="AT46" s="3"/>
      <c r="AU46" s="3">
        <v>0</v>
      </c>
      <c r="AV46" s="3"/>
      <c r="AW46" s="3">
        <v>0</v>
      </c>
      <c r="AX46" s="3"/>
      <c r="AY46" s="3">
        <v>0</v>
      </c>
      <c r="AZ46" s="3"/>
      <c r="BA46" s="3">
        <f t="shared" si="0"/>
        <v>8561624</v>
      </c>
      <c r="BB46" s="3"/>
      <c r="BC46" s="3">
        <f>+'St of Act-Rev'!AG46-BA46</f>
        <v>-617950</v>
      </c>
      <c r="BD46" s="3"/>
      <c r="BE46" s="3">
        <v>20591209</v>
      </c>
      <c r="BF46" s="3"/>
      <c r="BG46" s="3">
        <f t="shared" si="1"/>
        <v>19973259</v>
      </c>
      <c r="BI46" s="3">
        <f>+'St of Net Assets'!AA46-BG46</f>
        <v>0</v>
      </c>
    </row>
    <row r="47" spans="1:61">
      <c r="A47" s="3" t="s">
        <v>300</v>
      </c>
      <c r="B47" s="16"/>
      <c r="C47" s="16" t="s">
        <v>212</v>
      </c>
      <c r="D47" s="24"/>
      <c r="E47" s="16">
        <v>51417</v>
      </c>
      <c r="F47" s="24"/>
      <c r="G47" s="3">
        <v>812927</v>
      </c>
      <c r="H47" s="3"/>
      <c r="I47" s="3">
        <v>526508</v>
      </c>
      <c r="J47" s="3"/>
      <c r="K47" s="3">
        <v>9622720</v>
      </c>
      <c r="L47" s="3"/>
      <c r="M47" s="3">
        <v>436003</v>
      </c>
      <c r="N47" s="3"/>
      <c r="O47" s="3">
        <v>1259823</v>
      </c>
      <c r="P47" s="3"/>
      <c r="Q47" s="3">
        <v>1164839</v>
      </c>
      <c r="R47" s="3"/>
      <c r="S47" s="3">
        <v>91509</v>
      </c>
      <c r="T47" s="3"/>
      <c r="U47" s="3">
        <v>1176818</v>
      </c>
      <c r="V47" s="3"/>
      <c r="W47" s="3">
        <v>478488</v>
      </c>
      <c r="X47" s="3"/>
      <c r="Y47" s="3">
        <v>183932</v>
      </c>
      <c r="Z47" s="3"/>
      <c r="AA47" s="3">
        <v>1250052</v>
      </c>
      <c r="AB47" s="3"/>
      <c r="AC47" s="3" t="s">
        <v>300</v>
      </c>
      <c r="AD47" s="16"/>
      <c r="AE47" s="16" t="s">
        <v>212</v>
      </c>
      <c r="AF47" s="16"/>
      <c r="AG47" s="3">
        <v>1888</v>
      </c>
      <c r="AH47" s="3"/>
      <c r="AI47" s="3">
        <v>158508</v>
      </c>
      <c r="AJ47" s="3"/>
      <c r="AK47" s="3">
        <v>0</v>
      </c>
      <c r="AL47" s="3"/>
      <c r="AM47" s="3">
        <v>423815</v>
      </c>
      <c r="AN47" s="3"/>
      <c r="AO47" s="3">
        <v>140</v>
      </c>
      <c r="AP47" s="3"/>
      <c r="AQ47" s="3">
        <v>74017</v>
      </c>
      <c r="AR47" s="3"/>
      <c r="AS47" s="3">
        <v>604070</v>
      </c>
      <c r="AT47" s="3"/>
      <c r="AU47" s="3">
        <v>0</v>
      </c>
      <c r="AV47" s="3"/>
      <c r="AW47" s="3">
        <v>0</v>
      </c>
      <c r="AX47" s="3"/>
      <c r="AY47" s="3">
        <v>0</v>
      </c>
      <c r="AZ47" s="3"/>
      <c r="BA47" s="3">
        <f t="shared" si="0"/>
        <v>18266057</v>
      </c>
      <c r="BB47" s="3"/>
      <c r="BC47" s="3">
        <f>+'St of Act-Rev'!AG47-BA47</f>
        <v>2559457</v>
      </c>
      <c r="BD47" s="3"/>
      <c r="BE47" s="3">
        <v>38932972</v>
      </c>
      <c r="BF47" s="3"/>
      <c r="BG47" s="3">
        <f t="shared" si="1"/>
        <v>41492429</v>
      </c>
      <c r="BI47" s="3">
        <f>+'St of Net Assets'!AA47-BG47</f>
        <v>0</v>
      </c>
    </row>
    <row r="48" spans="1:61">
      <c r="A48" s="3" t="s">
        <v>301</v>
      </c>
      <c r="B48" s="16"/>
      <c r="C48" s="16" t="s">
        <v>167</v>
      </c>
      <c r="D48" s="24"/>
      <c r="E48" s="16">
        <v>50948</v>
      </c>
      <c r="F48" s="24"/>
      <c r="G48" s="3">
        <v>0</v>
      </c>
      <c r="H48" s="3"/>
      <c r="I48" s="3">
        <v>0</v>
      </c>
      <c r="J48" s="3"/>
      <c r="K48" s="3">
        <v>6912010</v>
      </c>
      <c r="L48" s="3"/>
      <c r="M48" s="3">
        <v>156435</v>
      </c>
      <c r="N48" s="3"/>
      <c r="O48" s="3">
        <v>1926961</v>
      </c>
      <c r="P48" s="3"/>
      <c r="Q48" s="3">
        <v>1725278</v>
      </c>
      <c r="R48" s="3"/>
      <c r="S48" s="3">
        <v>119605</v>
      </c>
      <c r="T48" s="3"/>
      <c r="U48" s="3">
        <v>794987</v>
      </c>
      <c r="V48" s="3"/>
      <c r="W48" s="3">
        <v>731938</v>
      </c>
      <c r="X48" s="3"/>
      <c r="Y48" s="3">
        <v>251627</v>
      </c>
      <c r="Z48" s="3"/>
      <c r="AA48" s="3">
        <v>1781417</v>
      </c>
      <c r="AB48" s="3"/>
      <c r="AC48" s="3" t="s">
        <v>301</v>
      </c>
      <c r="AD48" s="16"/>
      <c r="AE48" s="16" t="s">
        <v>167</v>
      </c>
      <c r="AF48" s="16"/>
      <c r="AG48" s="3">
        <v>28212</v>
      </c>
      <c r="AH48" s="3"/>
      <c r="AI48" s="3">
        <v>1128764</v>
      </c>
      <c r="AJ48" s="3"/>
      <c r="AK48" s="3">
        <v>0</v>
      </c>
      <c r="AL48" s="3"/>
      <c r="AM48" s="3">
        <v>128843</v>
      </c>
      <c r="AN48" s="3"/>
      <c r="AO48" s="3">
        <f>102810+219551+2268310</f>
        <v>2590671</v>
      </c>
      <c r="AP48" s="3"/>
      <c r="AQ48" s="3">
        <v>38059</v>
      </c>
      <c r="AR48" s="3"/>
      <c r="AS48" s="3">
        <v>0</v>
      </c>
      <c r="AT48" s="3"/>
      <c r="AU48" s="3">
        <v>0</v>
      </c>
      <c r="AV48" s="3"/>
      <c r="AW48" s="3">
        <v>0</v>
      </c>
      <c r="AX48" s="3"/>
      <c r="AY48" s="3">
        <v>0</v>
      </c>
      <c r="AZ48" s="3"/>
      <c r="BA48" s="3">
        <f t="shared" si="0"/>
        <v>18314807</v>
      </c>
      <c r="BB48" s="3"/>
      <c r="BC48" s="3">
        <f>+'St of Act-Rev'!AG48-BA48</f>
        <v>-690721</v>
      </c>
      <c r="BD48" s="3"/>
      <c r="BE48" s="3">
        <v>15431799</v>
      </c>
      <c r="BF48" s="3"/>
      <c r="BG48" s="3">
        <f t="shared" si="1"/>
        <v>14741078</v>
      </c>
      <c r="BI48" s="3">
        <f>+'St of Net Assets'!AA48-BG48</f>
        <v>0</v>
      </c>
    </row>
    <row r="49" spans="1:61">
      <c r="A49" s="3" t="s">
        <v>302</v>
      </c>
      <c r="B49" s="16"/>
      <c r="C49" s="16" t="s">
        <v>223</v>
      </c>
      <c r="D49" s="24"/>
      <c r="E49" s="16">
        <v>63495</v>
      </c>
      <c r="F49" s="24"/>
      <c r="G49" s="3">
        <v>340809</v>
      </c>
      <c r="H49" s="3"/>
      <c r="I49" s="3">
        <v>241904</v>
      </c>
      <c r="J49" s="3"/>
      <c r="K49" s="3">
        <v>3963018</v>
      </c>
      <c r="L49" s="3"/>
      <c r="M49" s="3">
        <f>1190879+3468</f>
        <v>1194347</v>
      </c>
      <c r="N49" s="3"/>
      <c r="O49" s="3">
        <v>251511</v>
      </c>
      <c r="P49" s="3"/>
      <c r="Q49" s="3">
        <v>80491</v>
      </c>
      <c r="R49" s="3"/>
      <c r="S49" s="3">
        <v>23509</v>
      </c>
      <c r="T49" s="3"/>
      <c r="U49" s="3">
        <v>842700</v>
      </c>
      <c r="V49" s="3"/>
      <c r="W49" s="3">
        <v>402496</v>
      </c>
      <c r="X49" s="3"/>
      <c r="Y49" s="3">
        <v>0</v>
      </c>
      <c r="Z49" s="3"/>
      <c r="AA49" s="3">
        <v>389855</v>
      </c>
      <c r="AB49" s="3"/>
      <c r="AC49" s="3" t="s">
        <v>302</v>
      </c>
      <c r="AD49" s="16"/>
      <c r="AE49" s="16" t="s">
        <v>223</v>
      </c>
      <c r="AF49" s="16"/>
      <c r="AG49" s="3">
        <v>42284</v>
      </c>
      <c r="AH49" s="3"/>
      <c r="AI49" s="3">
        <v>86949</v>
      </c>
      <c r="AJ49" s="3"/>
      <c r="AK49" s="3">
        <v>0</v>
      </c>
      <c r="AL49" s="3"/>
      <c r="AM49" s="3">
        <v>0</v>
      </c>
      <c r="AN49" s="3"/>
      <c r="AO49" s="3">
        <v>0</v>
      </c>
      <c r="AP49" s="3"/>
      <c r="AQ49" s="3">
        <v>13767</v>
      </c>
      <c r="AR49" s="3"/>
      <c r="AS49" s="3">
        <v>0</v>
      </c>
      <c r="AT49" s="3"/>
      <c r="AU49" s="3">
        <v>0</v>
      </c>
      <c r="AV49" s="3"/>
      <c r="AW49" s="3">
        <v>0</v>
      </c>
      <c r="AX49" s="3"/>
      <c r="AY49" s="3">
        <v>0</v>
      </c>
      <c r="AZ49" s="3"/>
      <c r="BA49" s="3">
        <f t="shared" si="0"/>
        <v>7873640</v>
      </c>
      <c r="BB49" s="3"/>
      <c r="BC49" s="3">
        <f>+'St of Act-Rev'!AG49-BA49</f>
        <v>385760</v>
      </c>
      <c r="BD49" s="3"/>
      <c r="BE49" s="3">
        <v>14743564</v>
      </c>
      <c r="BF49" s="3"/>
      <c r="BG49" s="3">
        <f t="shared" si="1"/>
        <v>15129324</v>
      </c>
      <c r="BI49" s="3">
        <f>+'St of Net Assets'!AA49-BG49</f>
        <v>0</v>
      </c>
    </row>
    <row r="50" spans="1:61">
      <c r="A50" s="3" t="s">
        <v>303</v>
      </c>
      <c r="B50" s="16"/>
      <c r="C50" s="16" t="s">
        <v>217</v>
      </c>
      <c r="D50" s="24"/>
      <c r="E50" s="16">
        <v>51490</v>
      </c>
      <c r="F50" s="24"/>
      <c r="G50" s="3">
        <v>0</v>
      </c>
      <c r="H50" s="3"/>
      <c r="I50" s="3">
        <v>122981</v>
      </c>
      <c r="J50" s="3"/>
      <c r="K50" s="3">
        <v>5510533</v>
      </c>
      <c r="L50" s="3"/>
      <c r="M50" s="3">
        <v>0</v>
      </c>
      <c r="N50" s="3"/>
      <c r="O50" s="3">
        <v>443702</v>
      </c>
      <c r="P50" s="3"/>
      <c r="Q50" s="3">
        <v>403950</v>
      </c>
      <c r="R50" s="3"/>
      <c r="S50" s="3">
        <v>14572</v>
      </c>
      <c r="T50" s="3"/>
      <c r="U50" s="3">
        <v>1309062</v>
      </c>
      <c r="V50" s="3"/>
      <c r="W50" s="3">
        <v>387358</v>
      </c>
      <c r="X50" s="3"/>
      <c r="Y50" s="3">
        <v>0</v>
      </c>
      <c r="Z50" s="3"/>
      <c r="AA50" s="3">
        <v>1168266</v>
      </c>
      <c r="AB50" s="3"/>
      <c r="AC50" s="3" t="s">
        <v>303</v>
      </c>
      <c r="AD50" s="16"/>
      <c r="AE50" s="16" t="s">
        <v>217</v>
      </c>
      <c r="AF50" s="16"/>
      <c r="AG50" s="3">
        <v>33813</v>
      </c>
      <c r="AH50" s="3"/>
      <c r="AI50" s="3">
        <v>140703</v>
      </c>
      <c r="AJ50" s="3"/>
      <c r="AK50" s="3">
        <v>0</v>
      </c>
      <c r="AL50" s="3"/>
      <c r="AM50" s="3">
        <v>0</v>
      </c>
      <c r="AN50" s="3"/>
      <c r="AO50" s="3">
        <v>281850</v>
      </c>
      <c r="AP50" s="3"/>
      <c r="AQ50" s="3">
        <v>35468</v>
      </c>
      <c r="AR50" s="3"/>
      <c r="AS50" s="3">
        <v>0</v>
      </c>
      <c r="AT50" s="3"/>
      <c r="AU50" s="3">
        <v>0</v>
      </c>
      <c r="AV50" s="3"/>
      <c r="AW50" s="3">
        <v>0</v>
      </c>
      <c r="AX50" s="3"/>
      <c r="AY50" s="3">
        <v>0</v>
      </c>
      <c r="AZ50" s="3"/>
      <c r="BA50" s="3">
        <f t="shared" si="0"/>
        <v>9852258</v>
      </c>
      <c r="BB50" s="3"/>
      <c r="BC50" s="3">
        <f>+'St of Act-Rev'!AG50-BA50</f>
        <v>346281</v>
      </c>
      <c r="BD50" s="3"/>
      <c r="BE50" s="3">
        <v>24761070</v>
      </c>
      <c r="BF50" s="3"/>
      <c r="BG50" s="3">
        <f t="shared" si="1"/>
        <v>25107351</v>
      </c>
      <c r="BI50" s="3">
        <f>+'St of Net Assets'!AA50-BG50</f>
        <v>0</v>
      </c>
    </row>
    <row r="51" spans="1:61">
      <c r="A51" s="3" t="s">
        <v>238</v>
      </c>
      <c r="B51" s="16"/>
      <c r="C51" s="16" t="s">
        <v>158</v>
      </c>
      <c r="D51" s="24"/>
      <c r="E51" s="16">
        <v>50799</v>
      </c>
      <c r="F51" s="24"/>
      <c r="G51" s="3">
        <v>181620</v>
      </c>
      <c r="H51" s="3"/>
      <c r="I51" s="3">
        <v>21411</v>
      </c>
      <c r="J51" s="3"/>
      <c r="K51" s="3">
        <v>3804402</v>
      </c>
      <c r="L51" s="3"/>
      <c r="M51" s="3">
        <v>143751</v>
      </c>
      <c r="N51" s="3"/>
      <c r="O51" s="3">
        <v>465322</v>
      </c>
      <c r="P51" s="3"/>
      <c r="Q51" s="3">
        <v>204486</v>
      </c>
      <c r="R51" s="3"/>
      <c r="S51" s="3">
        <v>39158</v>
      </c>
      <c r="T51" s="3"/>
      <c r="U51" s="3">
        <v>638304</v>
      </c>
      <c r="V51" s="3"/>
      <c r="W51" s="3">
        <v>380855</v>
      </c>
      <c r="X51" s="3"/>
      <c r="Y51" s="3">
        <v>5428</v>
      </c>
      <c r="Z51" s="3"/>
      <c r="AA51" s="3">
        <v>536054</v>
      </c>
      <c r="AB51" s="3"/>
      <c r="AC51" s="3" t="s">
        <v>238</v>
      </c>
      <c r="AD51" s="16"/>
      <c r="AE51" s="16" t="s">
        <v>158</v>
      </c>
      <c r="AF51" s="16"/>
      <c r="AG51" s="3">
        <v>41339</v>
      </c>
      <c r="AH51" s="3"/>
      <c r="AI51" s="3">
        <v>41114</v>
      </c>
      <c r="AJ51" s="3"/>
      <c r="AK51" s="3">
        <v>0</v>
      </c>
      <c r="AL51" s="3"/>
      <c r="AM51" s="3">
        <v>296061</v>
      </c>
      <c r="AN51" s="3"/>
      <c r="AO51" s="3">
        <v>0</v>
      </c>
      <c r="AP51" s="3"/>
      <c r="AQ51" s="3">
        <v>10728</v>
      </c>
      <c r="AR51" s="3"/>
      <c r="AS51" s="3">
        <v>47875</v>
      </c>
      <c r="AT51" s="3"/>
      <c r="AU51" s="3">
        <v>0</v>
      </c>
      <c r="AV51" s="3"/>
      <c r="AW51" s="3">
        <v>0</v>
      </c>
      <c r="AX51" s="3"/>
      <c r="AY51" s="3">
        <v>0</v>
      </c>
      <c r="AZ51" s="3"/>
      <c r="BA51" s="3">
        <f t="shared" si="0"/>
        <v>6857908</v>
      </c>
      <c r="BB51" s="3"/>
      <c r="BC51" s="3">
        <f>+'St of Act-Rev'!AG51-BA51</f>
        <v>-9642</v>
      </c>
      <c r="BD51" s="3"/>
      <c r="BE51" s="3">
        <v>17823539</v>
      </c>
      <c r="BF51" s="3"/>
      <c r="BG51" s="3">
        <f t="shared" si="1"/>
        <v>17813897</v>
      </c>
      <c r="BI51" s="3">
        <f>+'St of Net Assets'!AA51-BG51</f>
        <v>0</v>
      </c>
    </row>
    <row r="52" spans="1:61">
      <c r="A52" s="3" t="s">
        <v>336</v>
      </c>
      <c r="B52" s="16"/>
      <c r="C52" s="16" t="s">
        <v>161</v>
      </c>
      <c r="D52" s="24"/>
      <c r="E52" s="16">
        <v>51532</v>
      </c>
      <c r="F52" s="24"/>
      <c r="G52" s="3">
        <v>0</v>
      </c>
      <c r="H52" s="3"/>
      <c r="I52" s="3">
        <v>718893</v>
      </c>
      <c r="J52" s="3"/>
      <c r="K52" s="3">
        <v>5652595</v>
      </c>
      <c r="L52" s="3"/>
      <c r="M52" s="3">
        <v>4849</v>
      </c>
      <c r="N52" s="3"/>
      <c r="O52" s="3">
        <v>762453</v>
      </c>
      <c r="P52" s="3"/>
      <c r="Q52" s="3">
        <v>439479</v>
      </c>
      <c r="R52" s="3"/>
      <c r="S52" s="3">
        <v>59415</v>
      </c>
      <c r="T52" s="3"/>
      <c r="U52" s="3">
        <v>789288</v>
      </c>
      <c r="V52" s="3"/>
      <c r="W52" s="3">
        <v>524349</v>
      </c>
      <c r="X52" s="3"/>
      <c r="Y52" s="3">
        <v>129561</v>
      </c>
      <c r="Z52" s="3"/>
      <c r="AA52" s="3">
        <v>1350540</v>
      </c>
      <c r="AB52" s="3"/>
      <c r="AC52" s="3" t="s">
        <v>336</v>
      </c>
      <c r="AD52" s="16"/>
      <c r="AE52" s="16" t="s">
        <v>161</v>
      </c>
      <c r="AF52" s="16"/>
      <c r="AG52" s="3">
        <v>56328</v>
      </c>
      <c r="AH52" s="3"/>
      <c r="AI52" s="3">
        <v>18115</v>
      </c>
      <c r="AJ52" s="3"/>
      <c r="AK52" s="3">
        <v>0</v>
      </c>
      <c r="AL52" s="3"/>
      <c r="AM52" s="3">
        <v>258804</v>
      </c>
      <c r="AN52" s="3"/>
      <c r="AO52" s="3">
        <v>0</v>
      </c>
      <c r="AP52" s="3"/>
      <c r="AQ52" s="3">
        <v>20379</v>
      </c>
      <c r="AR52" s="3"/>
      <c r="AS52" s="3">
        <v>169453</v>
      </c>
      <c r="AT52" s="3"/>
      <c r="AU52" s="3">
        <v>0</v>
      </c>
      <c r="AV52" s="3"/>
      <c r="AW52" s="3">
        <v>0</v>
      </c>
      <c r="AX52" s="3"/>
      <c r="AY52" s="3">
        <v>0</v>
      </c>
      <c r="AZ52" s="3"/>
      <c r="BA52" s="3">
        <f t="shared" si="0"/>
        <v>10954501</v>
      </c>
      <c r="BB52" s="3"/>
      <c r="BC52" s="3">
        <f>+'St of Act-Rev'!AG52-BA52</f>
        <v>1958941</v>
      </c>
      <c r="BD52" s="3"/>
      <c r="BE52" s="3">
        <v>6826673</v>
      </c>
      <c r="BF52" s="3"/>
      <c r="BG52" s="3">
        <f t="shared" si="1"/>
        <v>8785614</v>
      </c>
      <c r="BI52" s="3">
        <f>+'St of Net Assets'!AA52-BG52</f>
        <v>0</v>
      </c>
    </row>
    <row r="53" spans="1:61">
      <c r="A53" s="3" t="s">
        <v>255</v>
      </c>
      <c r="B53" s="16"/>
      <c r="C53" s="16" t="s">
        <v>221</v>
      </c>
      <c r="D53" s="24"/>
      <c r="E53" s="16">
        <v>62026</v>
      </c>
      <c r="F53" s="24"/>
      <c r="G53" s="3">
        <v>805766</v>
      </c>
      <c r="H53" s="3"/>
      <c r="I53" s="3">
        <v>128830</v>
      </c>
      <c r="J53" s="3"/>
      <c r="K53" s="3">
        <v>3428466</v>
      </c>
      <c r="L53" s="3"/>
      <c r="M53" s="3">
        <v>237</v>
      </c>
      <c r="N53" s="3"/>
      <c r="O53" s="3">
        <v>1070016</v>
      </c>
      <c r="P53" s="3"/>
      <c r="Q53" s="3">
        <v>519906</v>
      </c>
      <c r="R53" s="3"/>
      <c r="S53" s="3">
        <v>16537</v>
      </c>
      <c r="T53" s="3"/>
      <c r="U53" s="3">
        <v>367942</v>
      </c>
      <c r="V53" s="3"/>
      <c r="W53" s="3">
        <v>251083</v>
      </c>
      <c r="X53" s="3"/>
      <c r="Y53" s="3">
        <v>35696</v>
      </c>
      <c r="Z53" s="3"/>
      <c r="AA53" s="3">
        <v>876250</v>
      </c>
      <c r="AB53" s="3"/>
      <c r="AC53" s="3" t="s">
        <v>255</v>
      </c>
      <c r="AD53" s="16"/>
      <c r="AE53" s="16" t="s">
        <v>221</v>
      </c>
      <c r="AF53" s="16"/>
      <c r="AG53" s="3">
        <v>0</v>
      </c>
      <c r="AH53" s="3"/>
      <c r="AI53" s="3">
        <v>123645</v>
      </c>
      <c r="AJ53" s="3"/>
      <c r="AK53" s="3">
        <v>0</v>
      </c>
      <c r="AL53" s="3"/>
      <c r="AM53" s="3">
        <v>256746</v>
      </c>
      <c r="AN53" s="3"/>
      <c r="AO53" s="3">
        <v>833</v>
      </c>
      <c r="AP53" s="3"/>
      <c r="AQ53" s="3">
        <v>44954</v>
      </c>
      <c r="AR53" s="3"/>
      <c r="AS53" s="3">
        <v>0</v>
      </c>
      <c r="AT53" s="3"/>
      <c r="AU53" s="3">
        <v>0</v>
      </c>
      <c r="AV53" s="3"/>
      <c r="AW53" s="3">
        <v>0</v>
      </c>
      <c r="AX53" s="3"/>
      <c r="AY53" s="3">
        <v>0</v>
      </c>
      <c r="AZ53" s="3"/>
      <c r="BA53" s="3">
        <f t="shared" si="0"/>
        <v>7926907</v>
      </c>
      <c r="BB53" s="3"/>
      <c r="BC53" s="3">
        <f>+'St of Act-Rev'!AG53-BA53</f>
        <v>-59463</v>
      </c>
      <c r="BD53" s="3"/>
      <c r="BE53" s="3">
        <v>14909484</v>
      </c>
      <c r="BF53" s="3"/>
      <c r="BG53" s="3">
        <f t="shared" si="1"/>
        <v>14850021</v>
      </c>
      <c r="BI53" s="3">
        <f>+'St of Net Assets'!AA53-BG53</f>
        <v>0</v>
      </c>
    </row>
    <row r="54" spans="1:61">
      <c r="A54" s="3" t="s">
        <v>341</v>
      </c>
      <c r="B54" s="16"/>
      <c r="C54" s="16" t="s">
        <v>248</v>
      </c>
      <c r="E54" s="16"/>
      <c r="G54" s="3">
        <v>1731119</v>
      </c>
      <c r="H54" s="3"/>
      <c r="I54" s="3">
        <v>1041062</v>
      </c>
      <c r="J54" s="3"/>
      <c r="K54" s="3">
        <v>4447475</v>
      </c>
      <c r="L54" s="3"/>
      <c r="M54" s="3">
        <f>264376+159598</f>
        <v>423974</v>
      </c>
      <c r="N54" s="3"/>
      <c r="O54" s="3">
        <v>1134117</v>
      </c>
      <c r="P54" s="3"/>
      <c r="Q54" s="3">
        <v>1065417</v>
      </c>
      <c r="R54" s="3"/>
      <c r="S54" s="3">
        <v>70463</v>
      </c>
      <c r="T54" s="3"/>
      <c r="U54" s="3">
        <v>1035872</v>
      </c>
      <c r="V54" s="3"/>
      <c r="W54" s="3">
        <v>406251</v>
      </c>
      <c r="X54" s="3"/>
      <c r="Y54" s="3">
        <v>0</v>
      </c>
      <c r="Z54" s="3"/>
      <c r="AA54" s="3">
        <v>1537204</v>
      </c>
      <c r="AB54" s="3"/>
      <c r="AC54" s="3" t="s">
        <v>341</v>
      </c>
      <c r="AD54" s="16"/>
      <c r="AE54" s="16" t="s">
        <v>248</v>
      </c>
      <c r="AF54" s="16"/>
      <c r="AG54" s="3">
        <v>21044</v>
      </c>
      <c r="AH54" s="3"/>
      <c r="AI54" s="3">
        <v>33027</v>
      </c>
      <c r="AJ54" s="3"/>
      <c r="AK54" s="3">
        <v>0</v>
      </c>
      <c r="AL54" s="3"/>
      <c r="AM54" s="3">
        <v>0</v>
      </c>
      <c r="AN54" s="3"/>
      <c r="AO54" s="3">
        <v>276923</v>
      </c>
      <c r="AP54" s="3"/>
      <c r="AQ54" s="3">
        <v>38667</v>
      </c>
      <c r="AR54" s="3"/>
      <c r="AS54" s="3">
        <v>233770</v>
      </c>
      <c r="AT54" s="3"/>
      <c r="AU54" s="3">
        <v>0</v>
      </c>
      <c r="AV54" s="3"/>
      <c r="AW54" s="3">
        <v>0</v>
      </c>
      <c r="AX54" s="3"/>
      <c r="AY54" s="3">
        <v>0</v>
      </c>
      <c r="AZ54" s="3"/>
      <c r="BA54" s="3">
        <f t="shared" si="0"/>
        <v>13496385</v>
      </c>
      <c r="BB54" s="3"/>
      <c r="BC54" s="3">
        <f>+'St of Act-Rev'!AG54-BA54</f>
        <v>-870964</v>
      </c>
      <c r="BD54" s="3"/>
      <c r="BE54" s="3">
        <v>20793967</v>
      </c>
      <c r="BF54" s="3"/>
      <c r="BG54" s="3">
        <f t="shared" si="1"/>
        <v>19923003</v>
      </c>
      <c r="BI54" s="3">
        <f>+'St of Net Assets'!AA54-BG54</f>
        <v>0</v>
      </c>
    </row>
    <row r="55" spans="1:61">
      <c r="A55" s="3" t="s">
        <v>388</v>
      </c>
      <c r="B55" s="16"/>
      <c r="C55" s="16" t="s">
        <v>153</v>
      </c>
      <c r="D55" s="24"/>
      <c r="E55" s="16">
        <v>51607</v>
      </c>
      <c r="F55" s="24"/>
      <c r="G55" s="3">
        <v>451472</v>
      </c>
      <c r="H55" s="3"/>
      <c r="I55" s="3">
        <v>21805</v>
      </c>
      <c r="J55" s="3"/>
      <c r="K55" s="3">
        <v>4264584</v>
      </c>
      <c r="L55" s="3"/>
      <c r="M55" s="3">
        <v>219976</v>
      </c>
      <c r="N55" s="3"/>
      <c r="O55" s="3">
        <v>476665</v>
      </c>
      <c r="P55" s="3"/>
      <c r="Q55" s="3">
        <v>92371</v>
      </c>
      <c r="R55" s="3"/>
      <c r="S55" s="3">
        <v>103328</v>
      </c>
      <c r="T55" s="3"/>
      <c r="U55" s="3">
        <v>850992</v>
      </c>
      <c r="V55" s="3"/>
      <c r="W55" s="3">
        <v>478520</v>
      </c>
      <c r="X55" s="3"/>
      <c r="Y55" s="3">
        <v>52086</v>
      </c>
      <c r="Z55" s="3"/>
      <c r="AA55" s="3">
        <v>1287380</v>
      </c>
      <c r="AB55" s="3"/>
      <c r="AC55" s="3" t="s">
        <v>388</v>
      </c>
      <c r="AD55" s="16"/>
      <c r="AE55" s="16" t="s">
        <v>153</v>
      </c>
      <c r="AF55" s="16"/>
      <c r="AG55" s="3">
        <v>1248</v>
      </c>
      <c r="AH55" s="3"/>
      <c r="AI55" s="3">
        <v>190355</v>
      </c>
      <c r="AJ55" s="3"/>
      <c r="AK55" s="3">
        <v>0</v>
      </c>
      <c r="AL55" s="3"/>
      <c r="AM55" s="3">
        <v>188752</v>
      </c>
      <c r="AN55" s="3"/>
      <c r="AO55" s="3">
        <v>1097454</v>
      </c>
      <c r="AP55" s="3"/>
      <c r="AQ55" s="3">
        <v>10646</v>
      </c>
      <c r="AR55" s="3"/>
      <c r="AS55" s="3">
        <v>0</v>
      </c>
      <c r="AT55" s="3"/>
      <c r="AU55" s="3">
        <v>0</v>
      </c>
      <c r="AV55" s="3"/>
      <c r="AW55" s="3">
        <v>0</v>
      </c>
      <c r="AX55" s="3"/>
      <c r="AY55" s="3">
        <v>0</v>
      </c>
      <c r="AZ55" s="3"/>
      <c r="BA55" s="3">
        <f t="shared" si="0"/>
        <v>9787634</v>
      </c>
      <c r="BB55" s="3"/>
      <c r="BC55" s="3">
        <f>+'St of Act-Rev'!AG55-BA55</f>
        <v>-492844</v>
      </c>
      <c r="BD55" s="3"/>
      <c r="BE55" s="3">
        <v>4660390</v>
      </c>
      <c r="BF55" s="3"/>
      <c r="BG55" s="3">
        <f t="shared" si="1"/>
        <v>4167546</v>
      </c>
      <c r="BI55" s="3">
        <f>+'St of Net Assets'!AA55-BG55</f>
        <v>0</v>
      </c>
    </row>
    <row r="56" spans="1:61">
      <c r="A56" s="3" t="s">
        <v>250</v>
      </c>
      <c r="B56" s="16"/>
      <c r="C56" s="16" t="s">
        <v>251</v>
      </c>
      <c r="D56" s="24"/>
      <c r="E56" s="16">
        <v>65268</v>
      </c>
      <c r="F56" s="24"/>
      <c r="G56" s="3">
        <v>230419</v>
      </c>
      <c r="H56" s="3"/>
      <c r="I56" s="3">
        <v>0</v>
      </c>
      <c r="J56" s="3"/>
      <c r="K56" s="3">
        <v>5802310</v>
      </c>
      <c r="L56" s="3"/>
      <c r="M56" s="3">
        <v>36726</v>
      </c>
      <c r="N56" s="3"/>
      <c r="O56" s="3">
        <v>740734</v>
      </c>
      <c r="P56" s="3"/>
      <c r="Q56" s="3">
        <v>331667</v>
      </c>
      <c r="R56" s="3"/>
      <c r="S56" s="3">
        <v>312788</v>
      </c>
      <c r="T56" s="3"/>
      <c r="U56" s="3">
        <v>756868</v>
      </c>
      <c r="V56" s="3"/>
      <c r="W56" s="3">
        <v>382537</v>
      </c>
      <c r="X56" s="3"/>
      <c r="Y56" s="3">
        <v>243355</v>
      </c>
      <c r="Z56" s="3"/>
      <c r="AA56" s="3">
        <v>821401</v>
      </c>
      <c r="AB56" s="3"/>
      <c r="AC56" s="3" t="s">
        <v>250</v>
      </c>
      <c r="AD56" s="16"/>
      <c r="AE56" s="16" t="s">
        <v>251</v>
      </c>
      <c r="AF56" s="16"/>
      <c r="AG56" s="3">
        <v>12077</v>
      </c>
      <c r="AH56" s="3"/>
      <c r="AI56" s="3">
        <v>229696</v>
      </c>
      <c r="AJ56" s="3"/>
      <c r="AK56" s="3">
        <v>0</v>
      </c>
      <c r="AL56" s="3"/>
      <c r="AM56" s="3">
        <v>240959</v>
      </c>
      <c r="AN56" s="3"/>
      <c r="AO56" s="3">
        <f>38769+248803+1473190</f>
        <v>1760762</v>
      </c>
      <c r="AP56" s="3"/>
      <c r="AQ56" s="3">
        <v>25582</v>
      </c>
      <c r="AR56" s="3"/>
      <c r="AS56" s="3">
        <v>4990</v>
      </c>
      <c r="AT56" s="3"/>
      <c r="AU56" s="3">
        <v>0</v>
      </c>
      <c r="AV56" s="3"/>
      <c r="AW56" s="3">
        <v>0</v>
      </c>
      <c r="AX56" s="3"/>
      <c r="AY56" s="3">
        <v>0</v>
      </c>
      <c r="AZ56" s="3"/>
      <c r="BA56" s="3">
        <f t="shared" si="0"/>
        <v>11932871</v>
      </c>
      <c r="BB56" s="3"/>
      <c r="BC56" s="3">
        <f>+'St of Act-Rev'!AG56-BA56</f>
        <v>1353332</v>
      </c>
      <c r="BD56" s="3"/>
      <c r="BE56" s="3">
        <v>8232364</v>
      </c>
      <c r="BF56" s="3"/>
      <c r="BG56" s="3">
        <f t="shared" si="1"/>
        <v>9585696</v>
      </c>
      <c r="BI56" s="3">
        <f>+'St of Net Assets'!AA56-BG56</f>
        <v>0</v>
      </c>
    </row>
    <row r="57" spans="1:61">
      <c r="A57" s="3" t="s">
        <v>304</v>
      </c>
      <c r="B57" s="16"/>
      <c r="C57" s="16" t="s">
        <v>225</v>
      </c>
      <c r="D57" s="24"/>
      <c r="E57" s="16">
        <v>51631</v>
      </c>
      <c r="F57" s="24"/>
      <c r="G57" s="3">
        <v>1928264</v>
      </c>
      <c r="H57" s="3"/>
      <c r="I57" s="3">
        <v>627965</v>
      </c>
      <c r="J57" s="3"/>
      <c r="K57" s="3">
        <v>5366932</v>
      </c>
      <c r="L57" s="3"/>
      <c r="M57" s="3">
        <v>392665</v>
      </c>
      <c r="N57" s="3"/>
      <c r="O57" s="3">
        <v>1371321</v>
      </c>
      <c r="P57" s="3"/>
      <c r="Q57" s="3">
        <v>460478</v>
      </c>
      <c r="R57" s="3"/>
      <c r="S57" s="3">
        <v>68604</v>
      </c>
      <c r="T57" s="3"/>
      <c r="U57" s="3">
        <v>2077315</v>
      </c>
      <c r="V57" s="3"/>
      <c r="W57" s="3">
        <v>549033</v>
      </c>
      <c r="X57" s="3"/>
      <c r="Y57" s="3">
        <v>41286</v>
      </c>
      <c r="Z57" s="3"/>
      <c r="AA57" s="3">
        <v>1211600</v>
      </c>
      <c r="AB57" s="3"/>
      <c r="AC57" s="3" t="s">
        <v>304</v>
      </c>
      <c r="AD57" s="16"/>
      <c r="AE57" s="16" t="s">
        <v>225</v>
      </c>
      <c r="AF57" s="16"/>
      <c r="AG57" s="3">
        <v>199692</v>
      </c>
      <c r="AH57" s="3"/>
      <c r="AI57" s="3">
        <v>137094</v>
      </c>
      <c r="AJ57" s="3"/>
      <c r="AK57" s="3">
        <v>0</v>
      </c>
      <c r="AL57" s="3"/>
      <c r="AM57" s="3">
        <v>370496</v>
      </c>
      <c r="AN57" s="3"/>
      <c r="AO57" s="3">
        <f>5439+2396676</f>
        <v>2402115</v>
      </c>
      <c r="AP57" s="3"/>
      <c r="AQ57" s="3">
        <v>107869</v>
      </c>
      <c r="AR57" s="3"/>
      <c r="AS57" s="3">
        <v>276181</v>
      </c>
      <c r="AT57" s="3"/>
      <c r="AU57" s="3">
        <v>0</v>
      </c>
      <c r="AV57" s="3"/>
      <c r="AW57" s="3">
        <v>0</v>
      </c>
      <c r="AX57" s="3"/>
      <c r="AY57" s="3">
        <v>0</v>
      </c>
      <c r="AZ57" s="3"/>
      <c r="BA57" s="3">
        <f t="shared" si="0"/>
        <v>17588910</v>
      </c>
      <c r="BB57" s="3"/>
      <c r="BC57" s="3">
        <f>+'St of Act-Rev'!AG57-BA57</f>
        <v>-254381</v>
      </c>
      <c r="BD57" s="3"/>
      <c r="BE57" s="3">
        <v>13413105</v>
      </c>
      <c r="BF57" s="3"/>
      <c r="BG57" s="3">
        <f t="shared" si="1"/>
        <v>13158724</v>
      </c>
      <c r="BI57" s="3">
        <f>+'St of Net Assets'!AA57-BG57</f>
        <v>0</v>
      </c>
    </row>
    <row r="58" spans="1:61">
      <c r="A58" s="3" t="s">
        <v>239</v>
      </c>
      <c r="B58" s="16"/>
      <c r="C58" s="16" t="s">
        <v>163</v>
      </c>
      <c r="D58" s="24"/>
      <c r="E58" s="16">
        <v>62802</v>
      </c>
      <c r="F58" s="24"/>
      <c r="G58" s="3">
        <v>283557</v>
      </c>
      <c r="H58" s="3"/>
      <c r="I58" s="3">
        <v>139310</v>
      </c>
      <c r="J58" s="3"/>
      <c r="K58" s="3">
        <v>3538479</v>
      </c>
      <c r="L58" s="3"/>
      <c r="M58" s="3">
        <v>342676</v>
      </c>
      <c r="N58" s="3"/>
      <c r="O58" s="3">
        <v>529265</v>
      </c>
      <c r="P58" s="3"/>
      <c r="Q58" s="3">
        <v>161460</v>
      </c>
      <c r="R58" s="3"/>
      <c r="S58" s="3">
        <v>68412</v>
      </c>
      <c r="T58" s="3"/>
      <c r="U58" s="3">
        <v>414962</v>
      </c>
      <c r="V58" s="3"/>
      <c r="W58" s="3">
        <v>457476</v>
      </c>
      <c r="X58" s="3"/>
      <c r="Y58" s="3">
        <v>646</v>
      </c>
      <c r="Z58" s="3"/>
      <c r="AA58" s="3">
        <v>694633</v>
      </c>
      <c r="AB58" s="3"/>
      <c r="AC58" s="3" t="s">
        <v>239</v>
      </c>
      <c r="AD58" s="16"/>
      <c r="AE58" s="16" t="s">
        <v>163</v>
      </c>
      <c r="AF58" s="16"/>
      <c r="AG58" s="3">
        <v>200</v>
      </c>
      <c r="AH58" s="3"/>
      <c r="AI58" s="3">
        <v>101581</v>
      </c>
      <c r="AJ58" s="3"/>
      <c r="AK58" s="3">
        <v>0</v>
      </c>
      <c r="AL58" s="3"/>
      <c r="AM58" s="3">
        <v>0</v>
      </c>
      <c r="AN58" s="3"/>
      <c r="AO58" s="3">
        <v>186109</v>
      </c>
      <c r="AP58" s="3"/>
      <c r="AQ58" s="3">
        <v>48195</v>
      </c>
      <c r="AR58" s="3"/>
      <c r="AS58" s="3">
        <v>0</v>
      </c>
      <c r="AT58" s="3"/>
      <c r="AU58" s="3">
        <v>0</v>
      </c>
      <c r="AV58" s="3"/>
      <c r="AW58" s="3">
        <v>0</v>
      </c>
      <c r="AX58" s="3"/>
      <c r="AY58" s="3">
        <v>0</v>
      </c>
      <c r="AZ58" s="3"/>
      <c r="BA58" s="3">
        <f t="shared" si="0"/>
        <v>6966961</v>
      </c>
      <c r="BB58" s="3"/>
      <c r="BC58" s="3">
        <f>+'St of Act-Rev'!AG58-BA58</f>
        <v>1425678</v>
      </c>
      <c r="BD58" s="3"/>
      <c r="BE58" s="3">
        <v>8969000</v>
      </c>
      <c r="BF58" s="3"/>
      <c r="BG58" s="3">
        <f t="shared" si="1"/>
        <v>10394678</v>
      </c>
      <c r="BI58" s="3">
        <f>+'St of Net Assets'!AA58-BG58</f>
        <v>0</v>
      </c>
    </row>
    <row r="59" spans="1:61">
      <c r="A59" s="3" t="s">
        <v>253</v>
      </c>
      <c r="B59" s="16"/>
      <c r="C59" s="16" t="s">
        <v>197</v>
      </c>
      <c r="D59" s="24"/>
      <c r="E59" s="16">
        <v>62125</v>
      </c>
      <c r="F59" s="24"/>
      <c r="G59" s="3">
        <v>2031692</v>
      </c>
      <c r="H59" s="3"/>
      <c r="I59" s="3">
        <v>1073647</v>
      </c>
      <c r="J59" s="3"/>
      <c r="K59" s="3">
        <v>8791266</v>
      </c>
      <c r="L59" s="3"/>
      <c r="M59" s="3">
        <f>1530050+93125</f>
        <v>1623175</v>
      </c>
      <c r="N59" s="3"/>
      <c r="O59" s="3">
        <v>1195294</v>
      </c>
      <c r="P59" s="3"/>
      <c r="Q59" s="3">
        <v>253230</v>
      </c>
      <c r="R59" s="3"/>
      <c r="S59" s="3">
        <v>69159</v>
      </c>
      <c r="T59" s="3"/>
      <c r="U59" s="3">
        <v>2584097</v>
      </c>
      <c r="V59" s="3"/>
      <c r="W59" s="3">
        <v>590611</v>
      </c>
      <c r="X59" s="3"/>
      <c r="Y59" s="3">
        <v>168021</v>
      </c>
      <c r="Z59" s="3"/>
      <c r="AA59" s="3">
        <v>1397391</v>
      </c>
      <c r="AB59" s="3"/>
      <c r="AC59" s="3" t="s">
        <v>253</v>
      </c>
      <c r="AD59" s="16"/>
      <c r="AE59" s="16" t="s">
        <v>197</v>
      </c>
      <c r="AF59" s="16"/>
      <c r="AG59" s="3">
        <v>58927</v>
      </c>
      <c r="AH59" s="3"/>
      <c r="AI59" s="3">
        <v>905202</v>
      </c>
      <c r="AJ59" s="3"/>
      <c r="AK59" s="3">
        <v>0</v>
      </c>
      <c r="AL59" s="3"/>
      <c r="AM59" s="3">
        <v>0</v>
      </c>
      <c r="AN59" s="3"/>
      <c r="AO59" s="3">
        <v>1258150</v>
      </c>
      <c r="AP59" s="3"/>
      <c r="AQ59" s="3">
        <v>123955</v>
      </c>
      <c r="AR59" s="3"/>
      <c r="AS59" s="3">
        <v>64175</v>
      </c>
      <c r="AT59" s="3"/>
      <c r="AU59" s="3">
        <v>0</v>
      </c>
      <c r="AV59" s="3"/>
      <c r="AW59" s="3">
        <v>0</v>
      </c>
      <c r="AX59" s="3"/>
      <c r="AY59" s="3">
        <v>0</v>
      </c>
      <c r="AZ59" s="3"/>
      <c r="BA59" s="3">
        <f t="shared" si="0"/>
        <v>22187992</v>
      </c>
      <c r="BB59" s="3"/>
      <c r="BC59" s="3">
        <f>+'St of Act-Rev'!AG59-BA59</f>
        <v>16844226</v>
      </c>
      <c r="BD59" s="3"/>
      <c r="BE59" s="3">
        <v>19906731</v>
      </c>
      <c r="BF59" s="3"/>
      <c r="BG59" s="3">
        <f t="shared" si="1"/>
        <v>36750957</v>
      </c>
      <c r="BI59" s="3">
        <f>+'St of Net Assets'!AA59-BG59</f>
        <v>0</v>
      </c>
    </row>
    <row r="60" spans="1:61">
      <c r="A60" s="3" t="s">
        <v>305</v>
      </c>
      <c r="B60" s="16"/>
      <c r="C60" s="16" t="s">
        <v>216</v>
      </c>
      <c r="D60" s="24"/>
      <c r="E60" s="16">
        <v>51458</v>
      </c>
      <c r="F60" s="24"/>
      <c r="G60" s="3">
        <v>142817</v>
      </c>
      <c r="H60" s="3"/>
      <c r="I60" s="3">
        <v>136138</v>
      </c>
      <c r="J60" s="3"/>
      <c r="K60" s="3">
        <v>9133050</v>
      </c>
      <c r="L60" s="3"/>
      <c r="M60" s="3">
        <v>573857</v>
      </c>
      <c r="N60" s="3"/>
      <c r="O60" s="3">
        <v>615524</v>
      </c>
      <c r="P60" s="3"/>
      <c r="Q60" s="3">
        <v>776627</v>
      </c>
      <c r="R60" s="3"/>
      <c r="S60" s="3">
        <v>88824</v>
      </c>
      <c r="T60" s="3"/>
      <c r="U60" s="3">
        <v>791016</v>
      </c>
      <c r="V60" s="3"/>
      <c r="W60" s="3">
        <v>499499</v>
      </c>
      <c r="X60" s="3"/>
      <c r="Y60" s="3">
        <v>0</v>
      </c>
      <c r="Z60" s="3"/>
      <c r="AA60" s="3">
        <v>1518889</v>
      </c>
      <c r="AB60" s="3"/>
      <c r="AC60" s="3" t="s">
        <v>305</v>
      </c>
      <c r="AD60" s="16"/>
      <c r="AE60" s="16" t="s">
        <v>216</v>
      </c>
      <c r="AF60" s="16"/>
      <c r="AG60" s="3">
        <v>75585</v>
      </c>
      <c r="AH60" s="3"/>
      <c r="AI60" s="3">
        <v>0</v>
      </c>
      <c r="AJ60" s="3"/>
      <c r="AK60" s="3">
        <v>0</v>
      </c>
      <c r="AL60" s="3"/>
      <c r="AM60" s="3">
        <v>169016</v>
      </c>
      <c r="AN60" s="3"/>
      <c r="AO60" s="3">
        <v>405</v>
      </c>
      <c r="AP60" s="3"/>
      <c r="AQ60" s="3">
        <v>8642</v>
      </c>
      <c r="AR60" s="3"/>
      <c r="AS60" s="3">
        <v>0</v>
      </c>
      <c r="AT60" s="3"/>
      <c r="AU60" s="3">
        <v>0</v>
      </c>
      <c r="AV60" s="3"/>
      <c r="AW60" s="3">
        <v>0</v>
      </c>
      <c r="AX60" s="3"/>
      <c r="AY60" s="3">
        <v>66423</v>
      </c>
      <c r="AZ60" s="3"/>
      <c r="BA60" s="3">
        <f t="shared" si="0"/>
        <v>14596312</v>
      </c>
      <c r="BB60" s="3"/>
      <c r="BC60" s="3">
        <f>+'St of Act-Rev'!AG60-BA60</f>
        <v>20873431</v>
      </c>
      <c r="BD60" s="3"/>
      <c r="BE60" s="3">
        <v>23748769</v>
      </c>
      <c r="BF60" s="3"/>
      <c r="BG60" s="3">
        <f t="shared" si="1"/>
        <v>44622200</v>
      </c>
      <c r="BI60" s="3">
        <f>+'St of Net Assets'!AA60-BG60</f>
        <v>0</v>
      </c>
    </row>
    <row r="61" spans="1:61">
      <c r="A61" s="3" t="s">
        <v>306</v>
      </c>
      <c r="B61" s="16"/>
      <c r="C61" s="16" t="s">
        <v>229</v>
      </c>
      <c r="D61" s="24"/>
      <c r="E61" s="16">
        <v>51672</v>
      </c>
      <c r="F61" s="24"/>
      <c r="G61" s="3">
        <v>0</v>
      </c>
      <c r="H61" s="3"/>
      <c r="I61" s="3">
        <v>5349871</v>
      </c>
      <c r="J61" s="3"/>
      <c r="K61" s="3">
        <v>855498</v>
      </c>
      <c r="L61" s="3"/>
      <c r="M61" s="3">
        <v>0</v>
      </c>
      <c r="N61" s="3"/>
      <c r="O61" s="3">
        <v>485948</v>
      </c>
      <c r="P61" s="3"/>
      <c r="Q61" s="3">
        <v>290023</v>
      </c>
      <c r="R61" s="3"/>
      <c r="S61" s="3">
        <v>57850</v>
      </c>
      <c r="T61" s="3"/>
      <c r="U61" s="3">
        <v>624983</v>
      </c>
      <c r="V61" s="3"/>
      <c r="W61" s="3">
        <v>360683</v>
      </c>
      <c r="X61" s="3"/>
      <c r="Y61" s="3">
        <v>0</v>
      </c>
      <c r="Z61" s="3"/>
      <c r="AA61" s="3">
        <v>695844</v>
      </c>
      <c r="AB61" s="3"/>
      <c r="AC61" s="3" t="s">
        <v>306</v>
      </c>
      <c r="AD61" s="16"/>
      <c r="AE61" s="16" t="s">
        <v>229</v>
      </c>
      <c r="AF61" s="16"/>
      <c r="AG61" s="3">
        <v>21782</v>
      </c>
      <c r="AH61" s="3"/>
      <c r="AI61" s="3">
        <v>459303</v>
      </c>
      <c r="AJ61" s="3"/>
      <c r="AK61" s="3">
        <v>0</v>
      </c>
      <c r="AL61" s="3"/>
      <c r="AM61" s="3">
        <v>243304</v>
      </c>
      <c r="AN61" s="3"/>
      <c r="AO61" s="3">
        <f>270032+9450</f>
        <v>279482</v>
      </c>
      <c r="AP61" s="3"/>
      <c r="AQ61" s="3">
        <v>43471</v>
      </c>
      <c r="AR61" s="3"/>
      <c r="AS61" s="3">
        <v>74719</v>
      </c>
      <c r="AT61" s="3"/>
      <c r="AU61" s="3">
        <v>0</v>
      </c>
      <c r="AV61" s="3"/>
      <c r="AW61" s="3">
        <v>0</v>
      </c>
      <c r="AX61" s="3"/>
      <c r="AY61" s="3">
        <v>0</v>
      </c>
      <c r="AZ61" s="3"/>
      <c r="BA61" s="3">
        <f t="shared" si="0"/>
        <v>9842761</v>
      </c>
      <c r="BB61" s="3"/>
      <c r="BC61" s="3">
        <f>+'St of Act-Rev'!AG61-BA61</f>
        <v>17351312</v>
      </c>
      <c r="BD61" s="3"/>
      <c r="BE61" s="3">
        <v>9855558</v>
      </c>
      <c r="BF61" s="3"/>
      <c r="BG61" s="3">
        <f t="shared" si="1"/>
        <v>27206870</v>
      </c>
      <c r="BI61" s="3">
        <f>+'St of Net Assets'!AA61-BG61</f>
        <v>0</v>
      </c>
    </row>
    <row r="62" spans="1:61">
      <c r="A62" s="3" t="s">
        <v>257</v>
      </c>
      <c r="B62" s="16"/>
      <c r="C62" s="16" t="s">
        <v>231</v>
      </c>
      <c r="D62" s="24"/>
      <c r="E62" s="16">
        <v>51474</v>
      </c>
      <c r="F62" s="24"/>
      <c r="G62" s="3">
        <v>2123</v>
      </c>
      <c r="H62" s="3"/>
      <c r="I62" s="3">
        <v>152501</v>
      </c>
      <c r="J62" s="3"/>
      <c r="K62" s="3">
        <v>8615270</v>
      </c>
      <c r="L62" s="3"/>
      <c r="M62" s="3">
        <v>174258</v>
      </c>
      <c r="N62" s="3"/>
      <c r="O62" s="3">
        <v>1068344</v>
      </c>
      <c r="P62" s="3"/>
      <c r="Q62" s="3">
        <v>640669</v>
      </c>
      <c r="R62" s="3"/>
      <c r="S62" s="3">
        <v>19400</v>
      </c>
      <c r="T62" s="3"/>
      <c r="U62" s="3">
        <v>1376831</v>
      </c>
      <c r="V62" s="3"/>
      <c r="W62" s="3">
        <v>506664</v>
      </c>
      <c r="X62" s="3"/>
      <c r="Y62" s="3">
        <v>74017</v>
      </c>
      <c r="Z62" s="3"/>
      <c r="AA62" s="3">
        <v>586499</v>
      </c>
      <c r="AB62" s="3"/>
      <c r="AC62" s="3" t="s">
        <v>257</v>
      </c>
      <c r="AD62" s="16"/>
      <c r="AE62" s="16" t="s">
        <v>231</v>
      </c>
      <c r="AF62" s="16"/>
      <c r="AG62" s="3">
        <v>169483</v>
      </c>
      <c r="AH62" s="3"/>
      <c r="AI62" s="3">
        <v>2078890</v>
      </c>
      <c r="AJ62" s="3"/>
      <c r="AK62" s="3">
        <v>0</v>
      </c>
      <c r="AL62" s="3"/>
      <c r="AM62" s="3">
        <v>301334</v>
      </c>
      <c r="AN62" s="3"/>
      <c r="AO62" s="3">
        <f>60858+180287</f>
        <v>241145</v>
      </c>
      <c r="AP62" s="3"/>
      <c r="AQ62" s="3">
        <v>108207</v>
      </c>
      <c r="AR62" s="3"/>
      <c r="AS62" s="3">
        <v>256245</v>
      </c>
      <c r="AT62" s="3"/>
      <c r="AU62" s="3">
        <v>0</v>
      </c>
      <c r="AV62" s="3"/>
      <c r="AW62" s="3">
        <v>0</v>
      </c>
      <c r="AX62" s="3"/>
      <c r="AY62" s="3">
        <v>0</v>
      </c>
      <c r="AZ62" s="3"/>
      <c r="BA62" s="3">
        <f t="shared" si="0"/>
        <v>16371880</v>
      </c>
      <c r="BB62" s="3"/>
      <c r="BC62" s="3">
        <f>+'St of Act-Rev'!AG62-BA62</f>
        <v>2416013</v>
      </c>
      <c r="BD62" s="3"/>
      <c r="BE62" s="3">
        <v>15203348</v>
      </c>
      <c r="BF62" s="3"/>
      <c r="BG62" s="3">
        <f t="shared" si="1"/>
        <v>17619361</v>
      </c>
      <c r="BI62" s="3">
        <f>+'St of Net Assets'!AA62-BG62</f>
        <v>0</v>
      </c>
    </row>
    <row r="63" spans="1:61">
      <c r="A63" s="3" t="s">
        <v>325</v>
      </c>
      <c r="B63" s="16"/>
      <c r="C63" s="16" t="s">
        <v>232</v>
      </c>
      <c r="D63" s="24"/>
      <c r="E63" s="16">
        <v>51698</v>
      </c>
      <c r="F63" s="24"/>
      <c r="G63" s="3">
        <v>812566</v>
      </c>
      <c r="H63" s="3"/>
      <c r="I63" s="3">
        <v>2088204</v>
      </c>
      <c r="J63" s="3"/>
      <c r="K63" s="3">
        <v>82515</v>
      </c>
      <c r="L63" s="3"/>
      <c r="M63" s="3">
        <v>2409818</v>
      </c>
      <c r="N63" s="3"/>
      <c r="O63" s="3">
        <v>379587</v>
      </c>
      <c r="P63" s="3"/>
      <c r="Q63" s="3">
        <v>308476</v>
      </c>
      <c r="R63" s="3"/>
      <c r="S63" s="3">
        <v>17372</v>
      </c>
      <c r="T63" s="3"/>
      <c r="U63" s="3">
        <v>477265</v>
      </c>
      <c r="V63" s="3"/>
      <c r="W63" s="3">
        <v>316721</v>
      </c>
      <c r="X63" s="3"/>
      <c r="Y63" s="3">
        <v>68856</v>
      </c>
      <c r="Z63" s="3"/>
      <c r="AA63" s="3">
        <v>699206</v>
      </c>
      <c r="AB63" s="3"/>
      <c r="AC63" s="3" t="s">
        <v>325</v>
      </c>
      <c r="AD63" s="16"/>
      <c r="AE63" s="16" t="s">
        <v>232</v>
      </c>
      <c r="AF63" s="16"/>
      <c r="AG63" s="3">
        <v>11585</v>
      </c>
      <c r="AH63" s="3"/>
      <c r="AI63" s="3">
        <v>337634</v>
      </c>
      <c r="AJ63" s="3"/>
      <c r="AK63" s="3">
        <v>0</v>
      </c>
      <c r="AL63" s="3"/>
      <c r="AM63" s="3">
        <v>146328</v>
      </c>
      <c r="AN63" s="3"/>
      <c r="AO63" s="3">
        <v>544999</v>
      </c>
      <c r="AP63" s="3"/>
      <c r="AQ63" s="3">
        <v>2324</v>
      </c>
      <c r="AR63" s="3"/>
      <c r="AS63" s="3">
        <v>68373</v>
      </c>
      <c r="AT63" s="3"/>
      <c r="AU63" s="3">
        <v>0</v>
      </c>
      <c r="AV63" s="3"/>
      <c r="AW63" s="3">
        <v>0</v>
      </c>
      <c r="AX63" s="3"/>
      <c r="AY63" s="3">
        <v>0</v>
      </c>
      <c r="AZ63" s="3"/>
      <c r="BA63" s="3">
        <f t="shared" si="0"/>
        <v>8771829</v>
      </c>
      <c r="BB63" s="3"/>
      <c r="BC63" s="3">
        <f>+'St of Act-Rev'!AG63-BA63</f>
        <v>433730</v>
      </c>
      <c r="BD63" s="3"/>
      <c r="BE63" s="3">
        <v>8854244</v>
      </c>
      <c r="BF63" s="3"/>
      <c r="BG63" s="3">
        <f t="shared" si="1"/>
        <v>9287974</v>
      </c>
      <c r="BI63" s="3">
        <f>+'St of Net Assets'!AA63-BG63</f>
        <v>0</v>
      </c>
    </row>
    <row r="64" spans="1:61">
      <c r="A64" s="3" t="s">
        <v>307</v>
      </c>
      <c r="B64" s="16"/>
      <c r="C64" s="16" t="s">
        <v>234</v>
      </c>
      <c r="D64" s="24"/>
      <c r="E64" s="16">
        <v>51714</v>
      </c>
      <c r="F64" s="24"/>
      <c r="G64" s="3">
        <v>1633397</v>
      </c>
      <c r="H64" s="3"/>
      <c r="I64" s="3">
        <v>8972</v>
      </c>
      <c r="J64" s="3"/>
      <c r="K64" s="3">
        <v>7704481</v>
      </c>
      <c r="L64" s="3"/>
      <c r="M64" s="3">
        <f>145507+48776</f>
        <v>194283</v>
      </c>
      <c r="N64" s="3"/>
      <c r="O64" s="3">
        <v>582804</v>
      </c>
      <c r="P64" s="3"/>
      <c r="Q64" s="3">
        <v>1568136</v>
      </c>
      <c r="R64" s="3"/>
      <c r="S64" s="3">
        <v>52827</v>
      </c>
      <c r="T64" s="3"/>
      <c r="U64" s="3">
        <v>868184</v>
      </c>
      <c r="V64" s="3"/>
      <c r="W64" s="3">
        <v>471798</v>
      </c>
      <c r="X64" s="3"/>
      <c r="Y64" s="3">
        <v>0</v>
      </c>
      <c r="Z64" s="3"/>
      <c r="AA64" s="3">
        <v>1048170</v>
      </c>
      <c r="AB64" s="3"/>
      <c r="AC64" s="3" t="s">
        <v>307</v>
      </c>
      <c r="AD64" s="16"/>
      <c r="AE64" s="16" t="s">
        <v>234</v>
      </c>
      <c r="AF64" s="16"/>
      <c r="AG64" s="3">
        <v>58893</v>
      </c>
      <c r="AH64" s="3"/>
      <c r="AI64" s="3">
        <v>102890</v>
      </c>
      <c r="AJ64" s="3"/>
      <c r="AK64" s="3">
        <v>0</v>
      </c>
      <c r="AL64" s="3"/>
      <c r="AM64" s="3">
        <v>238921</v>
      </c>
      <c r="AN64" s="3"/>
      <c r="AO64" s="3">
        <v>484574</v>
      </c>
      <c r="AP64" s="3"/>
      <c r="AQ64" s="3">
        <v>0</v>
      </c>
      <c r="AR64" s="3"/>
      <c r="AS64" s="3">
        <v>349549</v>
      </c>
      <c r="AT64" s="3"/>
      <c r="AU64" s="3">
        <v>0</v>
      </c>
      <c r="AV64" s="3"/>
      <c r="AW64" s="3">
        <v>0</v>
      </c>
      <c r="AX64" s="3"/>
      <c r="AY64" s="3">
        <v>0</v>
      </c>
      <c r="AZ64" s="3"/>
      <c r="BA64" s="3">
        <f t="shared" si="0"/>
        <v>15367879</v>
      </c>
      <c r="BB64" s="3"/>
      <c r="BC64" s="3">
        <f>+'St of Act-Rev'!AG64-BA64</f>
        <v>1165414</v>
      </c>
      <c r="BD64" s="3"/>
      <c r="BE64" s="3">
        <v>31175762</v>
      </c>
      <c r="BF64" s="3"/>
      <c r="BG64" s="3">
        <f t="shared" si="1"/>
        <v>32341176</v>
      </c>
      <c r="BI64" s="3">
        <f>+'St of Net Assets'!AA64-BG64</f>
        <v>0</v>
      </c>
    </row>
    <row r="65" spans="1:62">
      <c r="A65" s="3"/>
      <c r="B65" s="16"/>
      <c r="C65" s="16"/>
      <c r="E65" s="1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16"/>
      <c r="AE65" s="16"/>
      <c r="AF65" s="16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I65" s="3"/>
    </row>
    <row r="66" spans="1:62">
      <c r="A66" s="3"/>
      <c r="B66" s="16"/>
      <c r="C66" s="3"/>
      <c r="E66" s="16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17" t="s">
        <v>310</v>
      </c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C66" s="3"/>
      <c r="BG66" s="17" t="s">
        <v>310</v>
      </c>
      <c r="BI66" s="3"/>
    </row>
    <row r="67" spans="1:62"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C67" s="3"/>
      <c r="BI67" s="3"/>
    </row>
    <row r="68" spans="1:62">
      <c r="A68" s="44" t="s">
        <v>309</v>
      </c>
      <c r="B68" s="16"/>
      <c r="C68" s="16"/>
      <c r="E68" s="16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C68" s="44" t="s">
        <v>309</v>
      </c>
      <c r="AD68" s="16"/>
      <c r="AE68" s="16"/>
      <c r="AF68" s="16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C68" s="3"/>
      <c r="BI68" s="3"/>
    </row>
    <row r="69" spans="1:62">
      <c r="A69" s="44"/>
      <c r="B69" s="16"/>
      <c r="C69" s="16"/>
      <c r="E69" s="16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C69" s="44"/>
      <c r="AD69" s="16"/>
      <c r="AE69" s="16"/>
      <c r="AF69" s="16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C69" s="3"/>
      <c r="BI69" s="3"/>
    </row>
    <row r="70" spans="1:62" hidden="1">
      <c r="A70" s="3" t="s">
        <v>345</v>
      </c>
      <c r="B70" s="3"/>
      <c r="C70" s="3" t="s">
        <v>321</v>
      </c>
      <c r="E70" s="16">
        <v>45849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4"/>
      <c r="AC70" s="3" t="s">
        <v>345</v>
      </c>
      <c r="AD70" s="16"/>
      <c r="AE70" s="16" t="s">
        <v>152</v>
      </c>
      <c r="AF70" s="16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>
        <f>SUM(G70:AZ70)</f>
        <v>0</v>
      </c>
      <c r="BB70" s="3"/>
      <c r="BC70" s="3">
        <f>+'St of Act-Rev'!AG69-BA70</f>
        <v>0</v>
      </c>
      <c r="BD70" s="3"/>
      <c r="BE70" s="3"/>
      <c r="BF70" s="3"/>
      <c r="BG70" s="3">
        <f>+BC70+BE70</f>
        <v>0</v>
      </c>
      <c r="BH70" s="3"/>
      <c r="BI70" s="3">
        <f>+'St of Net Assets'!AA69-BG70</f>
        <v>0</v>
      </c>
    </row>
    <row r="71" spans="1:62" hidden="1">
      <c r="A71" s="3" t="s">
        <v>346</v>
      </c>
      <c r="B71" s="3"/>
      <c r="C71" s="3" t="s">
        <v>152</v>
      </c>
      <c r="E71" s="1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 t="s">
        <v>346</v>
      </c>
      <c r="AD71" s="3"/>
      <c r="AE71" s="3" t="s">
        <v>152</v>
      </c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>
        <f>SUM(G71:AZ71)</f>
        <v>0</v>
      </c>
      <c r="BB71" s="3"/>
      <c r="BC71" s="3">
        <f>+'St of Act-Rev'!AG70-BA71</f>
        <v>0</v>
      </c>
      <c r="BD71" s="3"/>
      <c r="BE71" s="3"/>
      <c r="BF71" s="3"/>
      <c r="BG71" s="3">
        <f>+BC71+BE71</f>
        <v>0</v>
      </c>
      <c r="BH71" s="3"/>
      <c r="BI71" s="3">
        <f>+'St of Net Assets'!AA70-BG71</f>
        <v>0</v>
      </c>
    </row>
    <row r="72" spans="1:62">
      <c r="A72" s="3" t="s">
        <v>156</v>
      </c>
      <c r="B72" s="3"/>
      <c r="C72" s="3" t="s">
        <v>153</v>
      </c>
      <c r="E72" s="16">
        <v>135145</v>
      </c>
      <c r="G72" s="34">
        <v>1350065</v>
      </c>
      <c r="H72" s="34"/>
      <c r="I72" s="34">
        <v>2100480</v>
      </c>
      <c r="J72" s="34"/>
      <c r="K72" s="34">
        <v>28774</v>
      </c>
      <c r="L72" s="34"/>
      <c r="M72" s="34">
        <f>74827+13087</f>
        <v>87914</v>
      </c>
      <c r="N72" s="34"/>
      <c r="O72" s="34">
        <v>984121</v>
      </c>
      <c r="P72" s="34"/>
      <c r="Q72" s="34">
        <v>1719500</v>
      </c>
      <c r="R72" s="34"/>
      <c r="S72" s="34">
        <v>91536</v>
      </c>
      <c r="T72" s="34"/>
      <c r="U72" s="34">
        <v>697219</v>
      </c>
      <c r="V72" s="34"/>
      <c r="W72" s="34">
        <v>476275</v>
      </c>
      <c r="X72" s="34"/>
      <c r="Y72" s="34">
        <v>118</v>
      </c>
      <c r="Z72" s="34"/>
      <c r="AA72" s="34">
        <v>252881</v>
      </c>
      <c r="AB72" s="3"/>
      <c r="AC72" s="3" t="s">
        <v>156</v>
      </c>
      <c r="AD72" s="3"/>
      <c r="AE72" s="3" t="s">
        <v>153</v>
      </c>
      <c r="AF72" s="3"/>
      <c r="AG72" s="34">
        <v>572722</v>
      </c>
      <c r="AH72" s="34"/>
      <c r="AI72" s="34">
        <v>43389</v>
      </c>
      <c r="AJ72" s="34"/>
      <c r="AK72" s="34">
        <v>0</v>
      </c>
      <c r="AL72" s="34"/>
      <c r="AM72" s="34">
        <v>0</v>
      </c>
      <c r="AN72" s="34"/>
      <c r="AO72" s="34">
        <v>227006</v>
      </c>
      <c r="AP72" s="34"/>
      <c r="AQ72" s="34">
        <v>1500</v>
      </c>
      <c r="AR72" s="34"/>
      <c r="AS72" s="34">
        <v>0</v>
      </c>
      <c r="AT72" s="34"/>
      <c r="AU72" s="34">
        <v>0</v>
      </c>
      <c r="AV72" s="34"/>
      <c r="AW72" s="34"/>
      <c r="AX72" s="34"/>
      <c r="AY72" s="34">
        <v>0</v>
      </c>
      <c r="AZ72" s="34"/>
      <c r="BA72" s="34">
        <f>SUM(G72:AZ72)</f>
        <v>8633500</v>
      </c>
      <c r="BB72" s="34"/>
      <c r="BC72" s="34">
        <f>+'St of Act-Rev'!AG71-BA72</f>
        <v>-185146</v>
      </c>
      <c r="BD72" s="34"/>
      <c r="BE72" s="34">
        <v>3092111</v>
      </c>
      <c r="BF72" s="34"/>
      <c r="BG72" s="34">
        <f>+BC72+BE72</f>
        <v>2906965</v>
      </c>
      <c r="BH72" s="3"/>
      <c r="BI72" s="3">
        <f>+'St of Net Assets'!AA71-BG72</f>
        <v>0</v>
      </c>
    </row>
    <row r="73" spans="1:62" hidden="1">
      <c r="A73" s="3" t="s">
        <v>362</v>
      </c>
      <c r="B73" s="3"/>
      <c r="C73" s="3" t="s">
        <v>322</v>
      </c>
      <c r="E73" s="1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 t="s">
        <v>362</v>
      </c>
      <c r="AD73" s="3"/>
      <c r="AE73" s="3" t="s">
        <v>322</v>
      </c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>
        <f>SUM(G73:AZ73)</f>
        <v>0</v>
      </c>
      <c r="BB73" s="3"/>
      <c r="BC73" s="3">
        <f>+'St of Act-Rev'!AG72-BA73</f>
        <v>0</v>
      </c>
      <c r="BD73" s="3"/>
      <c r="BE73" s="3"/>
      <c r="BF73" s="3"/>
      <c r="BG73" s="3">
        <f>+BC73+BE73</f>
        <v>0</v>
      </c>
      <c r="BH73" s="3"/>
      <c r="BI73" s="3">
        <f>+'St of Net Assets'!AA72-BG73</f>
        <v>0</v>
      </c>
    </row>
    <row r="74" spans="1:62">
      <c r="A74" s="16" t="s">
        <v>365</v>
      </c>
      <c r="B74" s="16"/>
      <c r="C74" s="16" t="s">
        <v>158</v>
      </c>
      <c r="E74" s="16">
        <v>46029</v>
      </c>
      <c r="G74" s="3">
        <v>632446</v>
      </c>
      <c r="H74" s="3"/>
      <c r="I74" s="3">
        <v>1560644</v>
      </c>
      <c r="J74" s="3"/>
      <c r="K74" s="3">
        <v>0</v>
      </c>
      <c r="L74" s="3"/>
      <c r="M74" s="3">
        <v>14508</v>
      </c>
      <c r="N74" s="3"/>
      <c r="O74" s="3">
        <v>1275636</v>
      </c>
      <c r="P74" s="3"/>
      <c r="Q74" s="3">
        <v>607212</v>
      </c>
      <c r="R74" s="3"/>
      <c r="S74" s="3">
        <v>32056</v>
      </c>
      <c r="T74" s="3"/>
      <c r="U74" s="3">
        <v>197923</v>
      </c>
      <c r="V74" s="3"/>
      <c r="W74" s="3">
        <v>160805</v>
      </c>
      <c r="X74" s="3"/>
      <c r="Y74" s="3">
        <v>0</v>
      </c>
      <c r="Z74" s="3"/>
      <c r="AA74" s="3">
        <v>71950</v>
      </c>
      <c r="AB74" s="3"/>
      <c r="AC74" s="16" t="s">
        <v>365</v>
      </c>
      <c r="AD74" s="16"/>
      <c r="AE74" s="16" t="s">
        <v>158</v>
      </c>
      <c r="AF74" s="16"/>
      <c r="AG74" s="3">
        <v>0</v>
      </c>
      <c r="AH74" s="3"/>
      <c r="AI74" s="3">
        <v>240818</v>
      </c>
      <c r="AJ74" s="3"/>
      <c r="AK74" s="3">
        <v>0</v>
      </c>
      <c r="AL74" s="3"/>
      <c r="AM74" s="3">
        <v>0</v>
      </c>
      <c r="AN74" s="3"/>
      <c r="AO74" s="3">
        <v>49062</v>
      </c>
      <c r="AP74" s="3"/>
      <c r="AQ74" s="3">
        <v>0</v>
      </c>
      <c r="AR74" s="3"/>
      <c r="AS74" s="3">
        <v>0</v>
      </c>
      <c r="AT74" s="3"/>
      <c r="AU74" s="3">
        <v>0</v>
      </c>
      <c r="AV74" s="3"/>
      <c r="AW74" s="3"/>
      <c r="AX74" s="3"/>
      <c r="AY74" s="3">
        <v>0</v>
      </c>
      <c r="AZ74" s="3"/>
      <c r="BA74" s="3">
        <f>SUM(G74:AZ74)</f>
        <v>4843060</v>
      </c>
      <c r="BB74" s="3"/>
      <c r="BC74" s="3">
        <f>+'St of Act-Rev'!AG73-BA74</f>
        <v>-38593</v>
      </c>
      <c r="BD74" s="3"/>
      <c r="BE74" s="3">
        <v>1746438</v>
      </c>
      <c r="BF74" s="3"/>
      <c r="BG74" s="3">
        <f>+BC74+BE74</f>
        <v>1707845</v>
      </c>
      <c r="BH74" s="3"/>
      <c r="BI74" s="3">
        <f>+'St of Net Assets'!AA73-BG74</f>
        <v>0</v>
      </c>
    </row>
    <row r="75" spans="1:62">
      <c r="A75" s="16" t="s">
        <v>364</v>
      </c>
      <c r="B75" s="16"/>
      <c r="C75" s="16" t="s">
        <v>155</v>
      </c>
      <c r="E75" s="16">
        <v>46086</v>
      </c>
      <c r="G75" s="3">
        <v>508033</v>
      </c>
      <c r="H75" s="3"/>
      <c r="I75" s="3">
        <v>2108376</v>
      </c>
      <c r="J75" s="3"/>
      <c r="K75" s="3">
        <v>0</v>
      </c>
      <c r="L75" s="3"/>
      <c r="M75" s="3">
        <v>0</v>
      </c>
      <c r="N75" s="3"/>
      <c r="O75" s="3">
        <v>3050241</v>
      </c>
      <c r="P75" s="3"/>
      <c r="Q75" s="3">
        <v>2133285</v>
      </c>
      <c r="R75" s="3"/>
      <c r="S75" s="3">
        <v>19358</v>
      </c>
      <c r="T75" s="3"/>
      <c r="U75" s="3">
        <v>946381</v>
      </c>
      <c r="V75" s="3"/>
      <c r="W75" s="3">
        <v>564594</v>
      </c>
      <c r="X75" s="3"/>
      <c r="Y75" s="3">
        <v>0</v>
      </c>
      <c r="Z75" s="3"/>
      <c r="AA75" s="3">
        <v>1966145</v>
      </c>
      <c r="AB75" s="3"/>
      <c r="AC75" s="16" t="s">
        <v>364</v>
      </c>
      <c r="AD75" s="16"/>
      <c r="AE75" s="16" t="s">
        <v>155</v>
      </c>
      <c r="AF75" s="16"/>
      <c r="AG75" s="3">
        <v>224112</v>
      </c>
      <c r="AH75" s="3"/>
      <c r="AI75" s="3">
        <v>1821512</v>
      </c>
      <c r="AJ75" s="3"/>
      <c r="AK75" s="3">
        <v>0</v>
      </c>
      <c r="AL75" s="3"/>
      <c r="AM75" s="3">
        <v>0</v>
      </c>
      <c r="AN75" s="3"/>
      <c r="AO75" s="3">
        <v>0</v>
      </c>
      <c r="AP75" s="3"/>
      <c r="AQ75" s="3">
        <v>0</v>
      </c>
      <c r="AR75" s="3"/>
      <c r="AS75" s="3">
        <v>83885</v>
      </c>
      <c r="AT75" s="3"/>
      <c r="AU75" s="3">
        <v>0</v>
      </c>
      <c r="AV75" s="3"/>
      <c r="AW75" s="3"/>
      <c r="AX75" s="3"/>
      <c r="AY75" s="3">
        <v>0</v>
      </c>
      <c r="AZ75" s="3"/>
      <c r="BA75" s="3">
        <f t="shared" ref="BA75:BA131" si="2">SUM(G75:AZ75)</f>
        <v>13425922</v>
      </c>
      <c r="BB75" s="3"/>
      <c r="BC75" s="3">
        <f>+'St of Act-Rev'!AG74-BA75</f>
        <v>1217417</v>
      </c>
      <c r="BD75" s="3"/>
      <c r="BE75" s="3">
        <v>2921942</v>
      </c>
      <c r="BF75" s="3"/>
      <c r="BG75" s="3">
        <f t="shared" ref="BG75:BG131" si="3">+BC75+BE75</f>
        <v>4139359</v>
      </c>
      <c r="BH75" s="3"/>
      <c r="BI75" s="3">
        <f>+'St of Net Assets'!AA74-BG75</f>
        <v>0</v>
      </c>
    </row>
    <row r="76" spans="1:62">
      <c r="A76" s="16" t="s">
        <v>366</v>
      </c>
      <c r="B76" s="16"/>
      <c r="C76" s="16" t="s">
        <v>161</v>
      </c>
      <c r="E76" s="16">
        <v>46227</v>
      </c>
      <c r="G76" s="3">
        <v>1741</v>
      </c>
      <c r="H76" s="3"/>
      <c r="I76" s="3">
        <v>1300191</v>
      </c>
      <c r="J76" s="3"/>
      <c r="K76" s="3">
        <v>29530</v>
      </c>
      <c r="L76" s="3"/>
      <c r="M76" s="3">
        <v>9135</v>
      </c>
      <c r="N76" s="3"/>
      <c r="O76" s="3">
        <v>1590366</v>
      </c>
      <c r="P76" s="3"/>
      <c r="Q76" s="3">
        <v>2355129</v>
      </c>
      <c r="R76" s="3"/>
      <c r="S76" s="3">
        <v>23020</v>
      </c>
      <c r="T76" s="3"/>
      <c r="U76" s="3">
        <v>767136</v>
      </c>
      <c r="V76" s="3"/>
      <c r="W76" s="3">
        <v>221561</v>
      </c>
      <c r="X76" s="3"/>
      <c r="Y76" s="3">
        <v>13974</v>
      </c>
      <c r="Z76" s="3"/>
      <c r="AA76" s="3">
        <v>84194</v>
      </c>
      <c r="AB76" s="3"/>
      <c r="AC76" s="16" t="s">
        <v>366</v>
      </c>
      <c r="AD76" s="16"/>
      <c r="AE76" s="16" t="s">
        <v>161</v>
      </c>
      <c r="AF76" s="16"/>
      <c r="AG76" s="3">
        <v>0</v>
      </c>
      <c r="AH76" s="3"/>
      <c r="AI76" s="3">
        <v>8506</v>
      </c>
      <c r="AJ76" s="3"/>
      <c r="AK76" s="3">
        <v>0</v>
      </c>
      <c r="AL76" s="3"/>
      <c r="AM76" s="3">
        <v>0</v>
      </c>
      <c r="AN76" s="3"/>
      <c r="AO76" s="3">
        <v>0</v>
      </c>
      <c r="AP76" s="3"/>
      <c r="AQ76" s="3">
        <v>0</v>
      </c>
      <c r="AR76" s="3"/>
      <c r="AS76" s="3">
        <v>84</v>
      </c>
      <c r="AT76" s="3"/>
      <c r="AU76" s="3">
        <v>0</v>
      </c>
      <c r="AV76" s="3"/>
      <c r="AW76" s="3"/>
      <c r="AX76" s="3"/>
      <c r="AY76" s="3">
        <v>0</v>
      </c>
      <c r="AZ76" s="3"/>
      <c r="BA76" s="3">
        <f t="shared" si="2"/>
        <v>6404567</v>
      </c>
      <c r="BB76" s="3"/>
      <c r="BC76" s="3">
        <f>+'St of Act-Rev'!AG75-BA76</f>
        <v>-5858</v>
      </c>
      <c r="BD76" s="3"/>
      <c r="BE76" s="3">
        <v>1706495</v>
      </c>
      <c r="BF76" s="3"/>
      <c r="BG76" s="3">
        <f t="shared" si="3"/>
        <v>1700637</v>
      </c>
      <c r="BH76" s="3"/>
      <c r="BI76" s="3">
        <f>+'St of Net Assets'!AA75-BG76</f>
        <v>0</v>
      </c>
    </row>
    <row r="77" spans="1:62">
      <c r="A77" s="16" t="s">
        <v>162</v>
      </c>
      <c r="B77" s="16"/>
      <c r="C77" s="16" t="s">
        <v>163</v>
      </c>
      <c r="E77" s="16">
        <v>46292</v>
      </c>
      <c r="G77" s="3">
        <v>302795</v>
      </c>
      <c r="H77" s="3"/>
      <c r="I77" s="3">
        <v>6779076</v>
      </c>
      <c r="J77" s="3"/>
      <c r="K77" s="3">
        <v>0</v>
      </c>
      <c r="L77" s="3"/>
      <c r="M77" s="3">
        <v>78717</v>
      </c>
      <c r="N77" s="3"/>
      <c r="O77" s="3">
        <v>4786850</v>
      </c>
      <c r="P77" s="3"/>
      <c r="Q77" s="3">
        <v>6217852</v>
      </c>
      <c r="R77" s="3"/>
      <c r="S77" s="3">
        <v>207470</v>
      </c>
      <c r="T77" s="3"/>
      <c r="U77" s="3">
        <v>462587</v>
      </c>
      <c r="V77" s="3"/>
      <c r="W77" s="3">
        <v>274794</v>
      </c>
      <c r="X77" s="3"/>
      <c r="Y77" s="3">
        <v>0</v>
      </c>
      <c r="Z77" s="3"/>
      <c r="AA77" s="3">
        <v>0</v>
      </c>
      <c r="AB77" s="3"/>
      <c r="AC77" s="16" t="s">
        <v>162</v>
      </c>
      <c r="AD77" s="16"/>
      <c r="AE77" s="16" t="s">
        <v>163</v>
      </c>
      <c r="AF77" s="16"/>
      <c r="AG77" s="3">
        <v>0</v>
      </c>
      <c r="AH77" s="3"/>
      <c r="AI77" s="3">
        <v>23564</v>
      </c>
      <c r="AJ77" s="3"/>
      <c r="AK77" s="3">
        <v>0</v>
      </c>
      <c r="AL77" s="3"/>
      <c r="AM77" s="3">
        <v>0</v>
      </c>
      <c r="AN77" s="3"/>
      <c r="AO77" s="3">
        <v>54248</v>
      </c>
      <c r="AP77" s="3"/>
      <c r="AQ77" s="3">
        <v>0</v>
      </c>
      <c r="AR77" s="3"/>
      <c r="AS77" s="3">
        <v>0</v>
      </c>
      <c r="AT77" s="3"/>
      <c r="AU77" s="3">
        <v>0</v>
      </c>
      <c r="AV77" s="3"/>
      <c r="AW77" s="3"/>
      <c r="AX77" s="3"/>
      <c r="AY77" s="3">
        <v>0</v>
      </c>
      <c r="AZ77" s="3"/>
      <c r="BA77" s="3">
        <f t="shared" si="2"/>
        <v>19187953</v>
      </c>
      <c r="BB77" s="3"/>
      <c r="BC77" s="3">
        <f>+'St of Act-Rev'!AG76-BA77</f>
        <v>135648</v>
      </c>
      <c r="BD77" s="3"/>
      <c r="BE77" s="3">
        <v>3704436</v>
      </c>
      <c r="BF77" s="3"/>
      <c r="BG77" s="3">
        <f t="shared" si="3"/>
        <v>3840084</v>
      </c>
      <c r="BH77" s="3"/>
      <c r="BI77" s="3">
        <f>+'St of Net Assets'!AA76-BG77</f>
        <v>0</v>
      </c>
    </row>
    <row r="78" spans="1:62" s="24" customFormat="1" hidden="1">
      <c r="A78" s="16" t="s">
        <v>350</v>
      </c>
      <c r="B78" s="16"/>
      <c r="C78" s="16" t="s">
        <v>164</v>
      </c>
      <c r="E78" s="16">
        <v>46375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16" t="s">
        <v>350</v>
      </c>
      <c r="AD78" s="16"/>
      <c r="AE78" s="16" t="s">
        <v>164</v>
      </c>
      <c r="AF78" s="16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>
        <v>0</v>
      </c>
      <c r="BB78" s="3"/>
      <c r="BC78" s="3">
        <f>+'St of Act-Rev'!AG77-BA78</f>
        <v>0</v>
      </c>
      <c r="BD78" s="3"/>
      <c r="BE78" s="3"/>
      <c r="BF78" s="3"/>
      <c r="BG78" s="3">
        <f t="shared" si="3"/>
        <v>0</v>
      </c>
      <c r="BH78" s="3"/>
      <c r="BI78" s="3">
        <f>+'St of Net Assets'!AA77-BG78</f>
        <v>0</v>
      </c>
      <c r="BJ78" s="27"/>
    </row>
    <row r="79" spans="1:62">
      <c r="A79" s="16" t="s">
        <v>367</v>
      </c>
      <c r="B79" s="16"/>
      <c r="C79" s="16" t="s">
        <v>165</v>
      </c>
      <c r="E79" s="16">
        <v>46417</v>
      </c>
      <c r="G79" s="3">
        <v>918461</v>
      </c>
      <c r="H79" s="3"/>
      <c r="I79" s="3">
        <v>2028363</v>
      </c>
      <c r="J79" s="3"/>
      <c r="K79" s="3">
        <v>0</v>
      </c>
      <c r="L79" s="3"/>
      <c r="M79" s="3">
        <v>0</v>
      </c>
      <c r="N79" s="3"/>
      <c r="O79" s="3">
        <v>2310486</v>
      </c>
      <c r="P79" s="3"/>
      <c r="Q79" s="3">
        <v>3158595</v>
      </c>
      <c r="R79" s="3"/>
      <c r="S79" s="3">
        <v>29621</v>
      </c>
      <c r="T79" s="3"/>
      <c r="U79" s="3">
        <v>453318</v>
      </c>
      <c r="V79" s="3"/>
      <c r="W79" s="3">
        <v>199183</v>
      </c>
      <c r="X79" s="3"/>
      <c r="Y79" s="3">
        <v>0</v>
      </c>
      <c r="Z79" s="3"/>
      <c r="AA79" s="3">
        <v>138798</v>
      </c>
      <c r="AB79" s="3"/>
      <c r="AC79" s="16" t="s">
        <v>367</v>
      </c>
      <c r="AD79" s="16"/>
      <c r="AE79" s="16" t="s">
        <v>165</v>
      </c>
      <c r="AF79" s="16"/>
      <c r="AG79" s="3">
        <v>555591</v>
      </c>
      <c r="AH79" s="3"/>
      <c r="AI79" s="3">
        <v>351385</v>
      </c>
      <c r="AJ79" s="3"/>
      <c r="AK79" s="3">
        <v>0</v>
      </c>
      <c r="AL79" s="3"/>
      <c r="AM79" s="3">
        <v>0</v>
      </c>
      <c r="AN79" s="3"/>
      <c r="AO79" s="3">
        <v>66824</v>
      </c>
      <c r="AP79" s="3"/>
      <c r="AQ79" s="3">
        <v>0</v>
      </c>
      <c r="AR79" s="3"/>
      <c r="AS79" s="3">
        <v>24296</v>
      </c>
      <c r="AT79" s="3"/>
      <c r="AU79" s="3">
        <v>0</v>
      </c>
      <c r="AV79" s="3"/>
      <c r="AW79" s="3"/>
      <c r="AX79" s="3"/>
      <c r="AY79" s="3">
        <v>0</v>
      </c>
      <c r="AZ79" s="3"/>
      <c r="BA79" s="3">
        <f t="shared" si="2"/>
        <v>10234921</v>
      </c>
      <c r="BB79" s="3"/>
      <c r="BC79" s="3">
        <f>+'St of Act-Rev'!AG78-BA79</f>
        <v>-394909</v>
      </c>
      <c r="BD79" s="3"/>
      <c r="BE79" s="3">
        <v>285788</v>
      </c>
      <c r="BF79" s="3"/>
      <c r="BG79" s="3">
        <f t="shared" si="3"/>
        <v>-109121</v>
      </c>
      <c r="BH79" s="3"/>
      <c r="BI79" s="3">
        <f>+'St of Net Assets'!AA78-BG79</f>
        <v>0</v>
      </c>
    </row>
    <row r="80" spans="1:62">
      <c r="A80" s="16" t="s">
        <v>166</v>
      </c>
      <c r="B80" s="16"/>
      <c r="C80" s="16" t="s">
        <v>167</v>
      </c>
      <c r="E80" s="16">
        <v>46532</v>
      </c>
      <c r="G80" s="3">
        <v>513719</v>
      </c>
      <c r="H80" s="3"/>
      <c r="I80" s="3">
        <v>27296479</v>
      </c>
      <c r="J80" s="3"/>
      <c r="K80" s="3">
        <v>418304</v>
      </c>
      <c r="L80" s="3"/>
      <c r="M80" s="3">
        <v>1722</v>
      </c>
      <c r="N80" s="3"/>
      <c r="O80" s="3">
        <v>5679711</v>
      </c>
      <c r="P80" s="3"/>
      <c r="Q80" s="3">
        <v>14237768</v>
      </c>
      <c r="R80" s="3"/>
      <c r="S80" s="3">
        <v>78613</v>
      </c>
      <c r="T80" s="3"/>
      <c r="U80" s="3">
        <v>11224618</v>
      </c>
      <c r="V80" s="3"/>
      <c r="W80" s="3">
        <v>1512193</v>
      </c>
      <c r="X80" s="3"/>
      <c r="Y80" s="3">
        <v>12291</v>
      </c>
      <c r="Z80" s="3"/>
      <c r="AA80" s="3">
        <v>970161</v>
      </c>
      <c r="AB80" s="3"/>
      <c r="AC80" s="16" t="s">
        <v>166</v>
      </c>
      <c r="AD80" s="16"/>
      <c r="AE80" s="16" t="s">
        <v>167</v>
      </c>
      <c r="AF80" s="16"/>
      <c r="AG80" s="3">
        <v>3879</v>
      </c>
      <c r="AH80" s="3"/>
      <c r="AI80" s="3">
        <v>202346</v>
      </c>
      <c r="AJ80" s="3"/>
      <c r="AK80" s="3">
        <v>0</v>
      </c>
      <c r="AL80" s="3"/>
      <c r="AM80" s="3">
        <v>0</v>
      </c>
      <c r="AN80" s="3"/>
      <c r="AO80" s="3">
        <v>6658011</v>
      </c>
      <c r="AP80" s="3"/>
      <c r="AQ80" s="3">
        <v>54467</v>
      </c>
      <c r="AR80" s="3"/>
      <c r="AS80" s="3">
        <v>81478</v>
      </c>
      <c r="AT80" s="3"/>
      <c r="AU80" s="3">
        <v>0</v>
      </c>
      <c r="AV80" s="3"/>
      <c r="AW80" s="3"/>
      <c r="AX80" s="3"/>
      <c r="AY80" s="3">
        <v>0</v>
      </c>
      <c r="AZ80" s="3"/>
      <c r="BA80" s="3">
        <f t="shared" si="2"/>
        <v>68945760</v>
      </c>
      <c r="BB80" s="3"/>
      <c r="BC80" s="3">
        <f>+'St of Act-Rev'!AG79-BA80</f>
        <v>-1368840</v>
      </c>
      <c r="BD80" s="3"/>
      <c r="BE80" s="3">
        <v>28740467</v>
      </c>
      <c r="BF80" s="3"/>
      <c r="BG80" s="3">
        <f t="shared" si="3"/>
        <v>27371627</v>
      </c>
      <c r="BH80" s="3"/>
      <c r="BI80" s="3">
        <f>+'St of Net Assets'!AA79-BG80</f>
        <v>0</v>
      </c>
    </row>
    <row r="81" spans="1:62" hidden="1">
      <c r="A81" s="3" t="s">
        <v>339</v>
      </c>
      <c r="B81" s="16"/>
      <c r="C81" s="16" t="s">
        <v>169</v>
      </c>
      <c r="E81" s="16">
        <v>46615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 t="s">
        <v>339</v>
      </c>
      <c r="AD81" s="16"/>
      <c r="AE81" s="16" t="s">
        <v>169</v>
      </c>
      <c r="AF81" s="16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>
        <f t="shared" si="2"/>
        <v>0</v>
      </c>
      <c r="BB81" s="3"/>
      <c r="BC81" s="3">
        <f>+'St of Act-Rev'!AG80-BA81</f>
        <v>0</v>
      </c>
      <c r="BD81" s="3"/>
      <c r="BE81" s="3"/>
      <c r="BF81" s="3"/>
      <c r="BG81" s="3">
        <f t="shared" si="3"/>
        <v>0</v>
      </c>
      <c r="BH81" s="3"/>
      <c r="BI81" s="3">
        <f>+'St of Net Assets'!AA80-BG81</f>
        <v>0</v>
      </c>
    </row>
    <row r="82" spans="1:62" s="24" customFormat="1" hidden="1">
      <c r="A82" s="3" t="s">
        <v>363</v>
      </c>
      <c r="B82" s="16"/>
      <c r="C82" s="16" t="s">
        <v>171</v>
      </c>
      <c r="E82" s="16">
        <v>46730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16" t="s">
        <v>170</v>
      </c>
      <c r="AD82" s="16"/>
      <c r="AE82" s="16" t="s">
        <v>171</v>
      </c>
      <c r="AF82" s="16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>
        <f t="shared" si="2"/>
        <v>0</v>
      </c>
      <c r="BB82" s="3"/>
      <c r="BC82" s="3">
        <f>+'St of Act-Rev'!AG81-BA82</f>
        <v>0</v>
      </c>
      <c r="BD82" s="3"/>
      <c r="BE82" s="3"/>
      <c r="BF82" s="3"/>
      <c r="BG82" s="3">
        <f t="shared" si="3"/>
        <v>0</v>
      </c>
      <c r="BH82" s="3"/>
      <c r="BI82" s="3">
        <f>+'St of Net Assets'!AA81-BG82</f>
        <v>0</v>
      </c>
      <c r="BJ82" s="27"/>
    </row>
    <row r="83" spans="1:62" s="24" customFormat="1">
      <c r="A83" s="3" t="s">
        <v>384</v>
      </c>
      <c r="B83" s="3"/>
      <c r="C83" s="3" t="s">
        <v>227</v>
      </c>
      <c r="D83" s="3"/>
      <c r="E83" s="12">
        <v>50260</v>
      </c>
      <c r="G83" s="3">
        <v>668056</v>
      </c>
      <c r="H83" s="3"/>
      <c r="I83" s="3">
        <v>1335630</v>
      </c>
      <c r="J83" s="3"/>
      <c r="K83" s="3">
        <v>0</v>
      </c>
      <c r="L83" s="3"/>
      <c r="M83" s="3">
        <v>38158</v>
      </c>
      <c r="N83" s="3"/>
      <c r="O83" s="3">
        <v>2411631</v>
      </c>
      <c r="P83" s="3"/>
      <c r="Q83" s="3">
        <v>2925677</v>
      </c>
      <c r="R83" s="3"/>
      <c r="S83" s="3">
        <v>24472</v>
      </c>
      <c r="T83" s="3"/>
      <c r="U83" s="3">
        <v>483235</v>
      </c>
      <c r="V83" s="3"/>
      <c r="W83" s="3">
        <v>202847</v>
      </c>
      <c r="X83" s="3"/>
      <c r="Y83" s="3">
        <v>169526</v>
      </c>
      <c r="Z83" s="3"/>
      <c r="AA83" s="3">
        <v>176837</v>
      </c>
      <c r="AB83" s="3"/>
      <c r="AC83" s="3" t="s">
        <v>384</v>
      </c>
      <c r="AD83" s="3"/>
      <c r="AE83" s="3" t="s">
        <v>227</v>
      </c>
      <c r="AF83" s="3"/>
      <c r="AG83" s="3">
        <v>14156</v>
      </c>
      <c r="AH83" s="3"/>
      <c r="AI83" s="3">
        <v>200171</v>
      </c>
      <c r="AJ83" s="3"/>
      <c r="AK83" s="3">
        <v>0</v>
      </c>
      <c r="AL83" s="3"/>
      <c r="AM83" s="3">
        <v>0</v>
      </c>
      <c r="AN83" s="3"/>
      <c r="AO83" s="3">
        <v>0</v>
      </c>
      <c r="AP83" s="3"/>
      <c r="AQ83" s="3">
        <v>0</v>
      </c>
      <c r="AR83" s="3"/>
      <c r="AS83" s="3">
        <v>31797</v>
      </c>
      <c r="AT83" s="3"/>
      <c r="AU83" s="3">
        <v>0</v>
      </c>
      <c r="AV83" s="3"/>
      <c r="AW83" s="3">
        <v>0</v>
      </c>
      <c r="AX83" s="3"/>
      <c r="AY83" s="3">
        <v>0</v>
      </c>
      <c r="AZ83" s="3"/>
      <c r="BA83" s="3">
        <f t="shared" si="2"/>
        <v>8682193</v>
      </c>
      <c r="BB83" s="3"/>
      <c r="BC83" s="3">
        <f>+'St of Act-Rev'!AG82-BA83</f>
        <v>-36534</v>
      </c>
      <c r="BD83" s="3"/>
      <c r="BE83" s="3">
        <v>1522920</v>
      </c>
      <c r="BF83" s="3"/>
      <c r="BG83" s="3">
        <f t="shared" si="3"/>
        <v>1486386</v>
      </c>
      <c r="BH83" s="3"/>
      <c r="BI83" s="3">
        <f>+'St of Net Assets'!AA82-BG83</f>
        <v>0</v>
      </c>
      <c r="BJ83" s="27"/>
    </row>
    <row r="84" spans="1:62" s="24" customFormat="1" hidden="1">
      <c r="A84" s="16" t="s">
        <v>344</v>
      </c>
      <c r="B84" s="16"/>
      <c r="C84" s="16" t="s">
        <v>172</v>
      </c>
      <c r="E84" s="16">
        <v>125690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16" t="s">
        <v>344</v>
      </c>
      <c r="AD84" s="16"/>
      <c r="AE84" s="16" t="s">
        <v>172</v>
      </c>
      <c r="AF84" s="16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>
        <f t="shared" si="2"/>
        <v>0</v>
      </c>
      <c r="BB84" s="3"/>
      <c r="BC84" s="3">
        <f>+'St of Act-Rev'!AG83-BA84</f>
        <v>0</v>
      </c>
      <c r="BD84" s="3"/>
      <c r="BE84" s="3"/>
      <c r="BF84" s="3"/>
      <c r="BG84" s="3">
        <f t="shared" si="3"/>
        <v>0</v>
      </c>
      <c r="BH84" s="3"/>
      <c r="BI84" s="3">
        <f>+'St of Net Assets'!AA83-BG84</f>
        <v>0</v>
      </c>
      <c r="BJ84" s="27"/>
    </row>
    <row r="85" spans="1:62">
      <c r="A85" s="16" t="s">
        <v>173</v>
      </c>
      <c r="B85" s="16"/>
      <c r="C85" s="16" t="s">
        <v>174</v>
      </c>
      <c r="E85" s="16">
        <v>46839</v>
      </c>
      <c r="G85" s="3">
        <v>308926</v>
      </c>
      <c r="H85" s="3"/>
      <c r="I85" s="3">
        <v>1577375</v>
      </c>
      <c r="J85" s="3"/>
      <c r="K85" s="3">
        <v>0</v>
      </c>
      <c r="L85" s="3"/>
      <c r="M85" s="3">
        <f>1733+50053+9508</f>
        <v>61294</v>
      </c>
      <c r="N85" s="3"/>
      <c r="O85" s="3">
        <v>2160871</v>
      </c>
      <c r="P85" s="3"/>
      <c r="Q85" s="3">
        <v>2612211</v>
      </c>
      <c r="R85" s="3"/>
      <c r="S85" s="3">
        <v>13555</v>
      </c>
      <c r="T85" s="3"/>
      <c r="U85" s="3">
        <v>1518043</v>
      </c>
      <c r="V85" s="3"/>
      <c r="W85" s="3">
        <v>158538</v>
      </c>
      <c r="X85" s="3"/>
      <c r="Y85" s="3">
        <v>0</v>
      </c>
      <c r="Z85" s="3"/>
      <c r="AA85" s="3">
        <v>47479</v>
      </c>
      <c r="AB85" s="3"/>
      <c r="AC85" s="16" t="s">
        <v>173</v>
      </c>
      <c r="AD85" s="16"/>
      <c r="AE85" s="16" t="s">
        <v>174</v>
      </c>
      <c r="AF85" s="16"/>
      <c r="AG85" s="3">
        <v>0</v>
      </c>
      <c r="AH85" s="3"/>
      <c r="AI85" s="3">
        <v>72708</v>
      </c>
      <c r="AJ85" s="3"/>
      <c r="AK85" s="3">
        <v>0</v>
      </c>
      <c r="AL85" s="3"/>
      <c r="AM85" s="3">
        <v>0</v>
      </c>
      <c r="AN85" s="3"/>
      <c r="AO85" s="3">
        <v>0</v>
      </c>
      <c r="AP85" s="3"/>
      <c r="AQ85" s="3">
        <v>0</v>
      </c>
      <c r="AR85" s="3"/>
      <c r="AS85" s="3">
        <v>2621</v>
      </c>
      <c r="AT85" s="3"/>
      <c r="AU85" s="3">
        <v>0</v>
      </c>
      <c r="AV85" s="3"/>
      <c r="AW85" s="3">
        <v>0</v>
      </c>
      <c r="AX85" s="3"/>
      <c r="AY85" s="3">
        <v>0</v>
      </c>
      <c r="AZ85" s="3"/>
      <c r="BA85" s="3">
        <f>SUM(G85:AZ85)</f>
        <v>8533621</v>
      </c>
      <c r="BB85" s="3"/>
      <c r="BC85" s="3">
        <f>+'St of Act-Rev'!AG84-BA85</f>
        <v>-14344</v>
      </c>
      <c r="BD85" s="3"/>
      <c r="BE85" s="3">
        <v>739946</v>
      </c>
      <c r="BF85" s="3"/>
      <c r="BG85" s="3">
        <f>+BC85+BE85</f>
        <v>725602</v>
      </c>
      <c r="BH85" s="3"/>
      <c r="BI85" s="3">
        <f>+'St of Net Assets'!AA84-BG85</f>
        <v>0</v>
      </c>
    </row>
    <row r="86" spans="1:62">
      <c r="A86" s="3" t="s">
        <v>353</v>
      </c>
      <c r="B86" s="16"/>
      <c r="C86" s="16" t="s">
        <v>175</v>
      </c>
      <c r="E86" s="16">
        <v>46938</v>
      </c>
      <c r="G86" s="3">
        <v>755216</v>
      </c>
      <c r="H86" s="3"/>
      <c r="I86" s="3">
        <v>9970923</v>
      </c>
      <c r="J86" s="3"/>
      <c r="K86" s="3">
        <v>0</v>
      </c>
      <c r="L86" s="3"/>
      <c r="M86" s="3">
        <v>52670</v>
      </c>
      <c r="N86" s="3"/>
      <c r="O86" s="3">
        <v>9473212</v>
      </c>
      <c r="P86" s="3"/>
      <c r="Q86" s="3">
        <v>14094223</v>
      </c>
      <c r="R86" s="3"/>
      <c r="S86" s="3">
        <v>85030</v>
      </c>
      <c r="T86" s="3"/>
      <c r="U86" s="3">
        <v>13544778</v>
      </c>
      <c r="V86" s="3"/>
      <c r="W86" s="3">
        <v>3200531</v>
      </c>
      <c r="X86" s="3"/>
      <c r="Y86" s="3">
        <v>637305</v>
      </c>
      <c r="Z86" s="3"/>
      <c r="AA86" s="3">
        <v>1100398</v>
      </c>
      <c r="AB86" s="3"/>
      <c r="AC86" s="3" t="s">
        <v>353</v>
      </c>
      <c r="AD86" s="16"/>
      <c r="AE86" s="16" t="s">
        <v>175</v>
      </c>
      <c r="AF86" s="16"/>
      <c r="AG86" s="3">
        <v>252939</v>
      </c>
      <c r="AH86" s="3"/>
      <c r="AI86" s="3">
        <v>2107478</v>
      </c>
      <c r="AJ86" s="3"/>
      <c r="AK86" s="3">
        <v>0</v>
      </c>
      <c r="AL86" s="3"/>
      <c r="AM86" s="3">
        <v>0</v>
      </c>
      <c r="AN86" s="3"/>
      <c r="AO86" s="3">
        <v>104831</v>
      </c>
      <c r="AP86" s="3"/>
      <c r="AQ86" s="3">
        <v>91444</v>
      </c>
      <c r="AR86" s="3"/>
      <c r="AS86" s="3">
        <v>148893</v>
      </c>
      <c r="AT86" s="3"/>
      <c r="AU86" s="3">
        <v>0</v>
      </c>
      <c r="AV86" s="3"/>
      <c r="AW86" s="3">
        <v>0</v>
      </c>
      <c r="AX86" s="3"/>
      <c r="AY86" s="3">
        <v>0</v>
      </c>
      <c r="AZ86" s="3"/>
      <c r="BA86" s="3">
        <f t="shared" si="2"/>
        <v>55619871</v>
      </c>
      <c r="BB86" s="3"/>
      <c r="BC86" s="3">
        <f>+'St of Act-Rev'!AG85-BA86</f>
        <v>2682639</v>
      </c>
      <c r="BD86" s="3"/>
      <c r="BE86" s="3">
        <v>19238651</v>
      </c>
      <c r="BF86" s="3"/>
      <c r="BG86" s="3">
        <f t="shared" si="3"/>
        <v>21921290</v>
      </c>
      <c r="BH86" s="3"/>
      <c r="BI86" s="3">
        <f>+'St of Net Assets'!AA85-BG86</f>
        <v>0</v>
      </c>
    </row>
    <row r="87" spans="1:62">
      <c r="A87" s="16" t="s">
        <v>177</v>
      </c>
      <c r="B87" s="16"/>
      <c r="C87" s="16" t="s">
        <v>178</v>
      </c>
      <c r="E87" s="16">
        <v>125682</v>
      </c>
      <c r="G87" s="3">
        <v>972453</v>
      </c>
      <c r="H87" s="3"/>
      <c r="I87" s="3">
        <v>135</v>
      </c>
      <c r="J87" s="3"/>
      <c r="K87" s="3">
        <v>0</v>
      </c>
      <c r="L87" s="3"/>
      <c r="M87" s="3">
        <v>0</v>
      </c>
      <c r="N87" s="3"/>
      <c r="O87" s="3">
        <v>286273</v>
      </c>
      <c r="P87" s="3"/>
      <c r="Q87" s="3">
        <v>1058566</v>
      </c>
      <c r="R87" s="3"/>
      <c r="S87" s="3">
        <v>28906</v>
      </c>
      <c r="T87" s="3"/>
      <c r="U87" s="3">
        <v>883185</v>
      </c>
      <c r="V87" s="3"/>
      <c r="W87" s="3">
        <v>115701</v>
      </c>
      <c r="X87" s="3"/>
      <c r="Y87" s="3">
        <v>0</v>
      </c>
      <c r="Z87" s="3"/>
      <c r="AA87" s="3">
        <v>26015</v>
      </c>
      <c r="AB87" s="3"/>
      <c r="AC87" s="16" t="s">
        <v>177</v>
      </c>
      <c r="AD87" s="16"/>
      <c r="AE87" s="16" t="s">
        <v>178</v>
      </c>
      <c r="AF87" s="16"/>
      <c r="AG87" s="3">
        <v>356527</v>
      </c>
      <c r="AH87" s="3"/>
      <c r="AI87" s="3">
        <v>51295</v>
      </c>
      <c r="AJ87" s="3"/>
      <c r="AK87" s="3">
        <v>0</v>
      </c>
      <c r="AL87" s="3"/>
      <c r="AM87" s="3">
        <v>0</v>
      </c>
      <c r="AN87" s="3"/>
      <c r="AO87" s="3">
        <v>28140</v>
      </c>
      <c r="AP87" s="3"/>
      <c r="AQ87" s="3">
        <v>0</v>
      </c>
      <c r="AR87" s="3"/>
      <c r="AS87" s="3">
        <v>0</v>
      </c>
      <c r="AT87" s="3"/>
      <c r="AU87" s="3">
        <v>0</v>
      </c>
      <c r="AV87" s="3"/>
      <c r="AW87" s="3"/>
      <c r="AX87" s="3"/>
      <c r="AY87" s="3">
        <v>0</v>
      </c>
      <c r="AZ87" s="3"/>
      <c r="BA87" s="3">
        <f t="shared" si="2"/>
        <v>3807196</v>
      </c>
      <c r="BB87" s="3"/>
      <c r="BC87" s="3">
        <f>+'St of Act-Rev'!AG86-BA87</f>
        <v>421477</v>
      </c>
      <c r="BD87" s="3"/>
      <c r="BE87" s="3">
        <v>872372</v>
      </c>
      <c r="BF87" s="3"/>
      <c r="BG87" s="3">
        <f t="shared" si="3"/>
        <v>1293849</v>
      </c>
      <c r="BH87" s="3"/>
      <c r="BI87" s="3">
        <f>+'St of Net Assets'!AA86-BG87</f>
        <v>0</v>
      </c>
    </row>
    <row r="88" spans="1:62">
      <c r="A88" s="35" t="s">
        <v>376</v>
      </c>
      <c r="B88" s="16"/>
      <c r="C88" s="16" t="s">
        <v>179</v>
      </c>
      <c r="E88" s="16">
        <v>47159</v>
      </c>
      <c r="G88" s="3">
        <v>153842</v>
      </c>
      <c r="H88" s="3"/>
      <c r="I88" s="3">
        <v>3182758</v>
      </c>
      <c r="J88" s="3"/>
      <c r="K88" s="3">
        <v>210125</v>
      </c>
      <c r="L88" s="3"/>
      <c r="M88" s="3">
        <v>217</v>
      </c>
      <c r="N88" s="3"/>
      <c r="O88" s="3">
        <v>3472365</v>
      </c>
      <c r="P88" s="3"/>
      <c r="Q88" s="3">
        <v>2058055</v>
      </c>
      <c r="R88" s="3"/>
      <c r="S88" s="3">
        <v>29167</v>
      </c>
      <c r="T88" s="3"/>
      <c r="U88" s="3">
        <v>1339150</v>
      </c>
      <c r="V88" s="3"/>
      <c r="W88" s="3">
        <v>230302</v>
      </c>
      <c r="X88" s="3"/>
      <c r="Y88" s="3">
        <v>21260</v>
      </c>
      <c r="Z88" s="3"/>
      <c r="AA88" s="3">
        <v>63010</v>
      </c>
      <c r="AB88" s="3"/>
      <c r="AC88" s="35" t="s">
        <v>376</v>
      </c>
      <c r="AD88" s="16"/>
      <c r="AE88" s="16" t="s">
        <v>179</v>
      </c>
      <c r="AF88" s="16"/>
      <c r="AG88" s="3">
        <v>4079</v>
      </c>
      <c r="AH88" s="3"/>
      <c r="AI88" s="3">
        <v>104466</v>
      </c>
      <c r="AJ88" s="3"/>
      <c r="AK88" s="3">
        <v>0</v>
      </c>
      <c r="AL88" s="3"/>
      <c r="AM88" s="3">
        <v>0</v>
      </c>
      <c r="AN88" s="3"/>
      <c r="AO88" s="3">
        <v>0</v>
      </c>
      <c r="AP88" s="3"/>
      <c r="AQ88" s="3">
        <v>0</v>
      </c>
      <c r="AR88" s="3"/>
      <c r="AS88" s="3">
        <v>0</v>
      </c>
      <c r="AT88" s="3"/>
      <c r="AU88" s="3">
        <v>0</v>
      </c>
      <c r="AV88" s="3"/>
      <c r="AW88" s="3"/>
      <c r="AX88" s="3"/>
      <c r="AY88" s="3">
        <v>0</v>
      </c>
      <c r="AZ88" s="3"/>
      <c r="BA88" s="3">
        <f t="shared" si="2"/>
        <v>10868796</v>
      </c>
      <c r="BB88" s="3"/>
      <c r="BC88" s="3">
        <f>+'St of Act-Rev'!AG87-BA88</f>
        <v>-31562</v>
      </c>
      <c r="BD88" s="3"/>
      <c r="BE88" s="3">
        <v>840435</v>
      </c>
      <c r="BF88" s="3"/>
      <c r="BG88" s="3">
        <f t="shared" si="3"/>
        <v>808873</v>
      </c>
      <c r="BH88" s="3"/>
      <c r="BI88" s="3">
        <f>+'St of Net Assets'!AA87-BG88</f>
        <v>0</v>
      </c>
    </row>
    <row r="89" spans="1:62">
      <c r="A89" s="16" t="s">
        <v>377</v>
      </c>
      <c r="B89" s="16"/>
      <c r="C89" s="16" t="s">
        <v>180</v>
      </c>
      <c r="E89" s="16">
        <v>47233</v>
      </c>
      <c r="G89" s="3">
        <v>586565</v>
      </c>
      <c r="H89" s="3"/>
      <c r="I89" s="3">
        <v>3208508</v>
      </c>
      <c r="J89" s="3"/>
      <c r="K89" s="3">
        <v>0</v>
      </c>
      <c r="L89" s="3"/>
      <c r="M89" s="3">
        <v>0</v>
      </c>
      <c r="N89" s="3"/>
      <c r="O89" s="3">
        <v>6649367</v>
      </c>
      <c r="P89" s="3"/>
      <c r="Q89" s="3">
        <v>2134628</v>
      </c>
      <c r="R89" s="3"/>
      <c r="S89" s="3">
        <v>26024</v>
      </c>
      <c r="T89" s="3"/>
      <c r="U89" s="3">
        <v>310717</v>
      </c>
      <c r="V89" s="3"/>
      <c r="W89" s="3">
        <v>263951</v>
      </c>
      <c r="X89" s="3"/>
      <c r="Y89" s="3">
        <v>47665</v>
      </c>
      <c r="Z89" s="3"/>
      <c r="AA89" s="3">
        <v>199709</v>
      </c>
      <c r="AB89" s="3"/>
      <c r="AC89" s="16" t="s">
        <v>377</v>
      </c>
      <c r="AD89" s="16"/>
      <c r="AE89" s="16" t="s">
        <v>180</v>
      </c>
      <c r="AF89" s="16"/>
      <c r="AG89" s="3">
        <v>0</v>
      </c>
      <c r="AH89" s="3"/>
      <c r="AI89" s="3">
        <v>27137</v>
      </c>
      <c r="AJ89" s="3"/>
      <c r="AK89" s="3">
        <v>0</v>
      </c>
      <c r="AL89" s="3"/>
      <c r="AM89" s="3">
        <v>0</v>
      </c>
      <c r="AN89" s="3"/>
      <c r="AO89" s="3">
        <v>7350</v>
      </c>
      <c r="AP89" s="3"/>
      <c r="AQ89" s="3">
        <v>0</v>
      </c>
      <c r="AR89" s="3"/>
      <c r="AS89" s="3">
        <v>7861</v>
      </c>
      <c r="AT89" s="3"/>
      <c r="AU89" s="3">
        <v>0</v>
      </c>
      <c r="AV89" s="3"/>
      <c r="AW89" s="3"/>
      <c r="AX89" s="3"/>
      <c r="AY89" s="3">
        <v>62605</v>
      </c>
      <c r="AZ89" s="3"/>
      <c r="BA89" s="3">
        <f t="shared" si="2"/>
        <v>13532087</v>
      </c>
      <c r="BB89" s="3"/>
      <c r="BC89" s="3">
        <f>+'St of Act-Rev'!AG88-BA89</f>
        <v>44016</v>
      </c>
      <c r="BD89" s="3"/>
      <c r="BE89" s="3">
        <v>1532447</v>
      </c>
      <c r="BF89" s="3"/>
      <c r="BG89" s="3">
        <f t="shared" si="3"/>
        <v>1576463</v>
      </c>
      <c r="BH89" s="3"/>
      <c r="BI89" s="3">
        <f>+'St of Net Assets'!AA88-BG89</f>
        <v>0</v>
      </c>
    </row>
    <row r="90" spans="1:62">
      <c r="A90" s="16" t="s">
        <v>378</v>
      </c>
      <c r="B90" s="16"/>
      <c r="C90" s="16" t="s">
        <v>181</v>
      </c>
      <c r="E90" s="16">
        <v>47324</v>
      </c>
      <c r="G90" s="3">
        <v>24892</v>
      </c>
      <c r="H90" s="3"/>
      <c r="I90" s="3">
        <v>7949059</v>
      </c>
      <c r="J90" s="3"/>
      <c r="K90" s="3">
        <v>110743</v>
      </c>
      <c r="L90" s="3"/>
      <c r="M90" s="3">
        <v>0</v>
      </c>
      <c r="N90" s="3"/>
      <c r="O90" s="3">
        <v>7648356</v>
      </c>
      <c r="P90" s="3"/>
      <c r="Q90" s="3">
        <v>6731776</v>
      </c>
      <c r="R90" s="3"/>
      <c r="S90" s="3">
        <v>100582</v>
      </c>
      <c r="T90" s="3"/>
      <c r="U90" s="3">
        <v>2393167</v>
      </c>
      <c r="V90" s="3"/>
      <c r="W90" s="3">
        <v>856947</v>
      </c>
      <c r="X90" s="3"/>
      <c r="Y90" s="3">
        <v>413130</v>
      </c>
      <c r="Z90" s="3"/>
      <c r="AA90" s="3">
        <v>412911</v>
      </c>
      <c r="AB90" s="3"/>
      <c r="AC90" s="16" t="s">
        <v>378</v>
      </c>
      <c r="AD90" s="16"/>
      <c r="AE90" s="16" t="s">
        <v>181</v>
      </c>
      <c r="AF90" s="16"/>
      <c r="AG90" s="3">
        <v>0</v>
      </c>
      <c r="AH90" s="3"/>
      <c r="AI90" s="3">
        <v>678807</v>
      </c>
      <c r="AJ90" s="3"/>
      <c r="AK90" s="3">
        <v>0</v>
      </c>
      <c r="AL90" s="3"/>
      <c r="AM90" s="3">
        <v>0</v>
      </c>
      <c r="AN90" s="3"/>
      <c r="AO90" s="3">
        <v>12848143</v>
      </c>
      <c r="AP90" s="3"/>
      <c r="AQ90" s="3">
        <v>0</v>
      </c>
      <c r="AR90" s="3"/>
      <c r="AS90" s="3">
        <v>106243</v>
      </c>
      <c r="AT90" s="3"/>
      <c r="AU90" s="3">
        <v>0</v>
      </c>
      <c r="AV90" s="3"/>
      <c r="AW90" s="3"/>
      <c r="AX90" s="3"/>
      <c r="AY90" s="3">
        <v>0</v>
      </c>
      <c r="AZ90" s="3"/>
      <c r="BA90" s="3">
        <f t="shared" si="2"/>
        <v>40274756</v>
      </c>
      <c r="BB90" s="3"/>
      <c r="BC90" s="3">
        <f>+'St of Act-Rev'!AG89-BA90</f>
        <v>265393</v>
      </c>
      <c r="BD90" s="3"/>
      <c r="BE90" s="3">
        <v>7979193</v>
      </c>
      <c r="BF90" s="3"/>
      <c r="BG90" s="3">
        <f t="shared" si="3"/>
        <v>8244586</v>
      </c>
      <c r="BH90" s="3"/>
      <c r="BI90" s="3">
        <f>+'St of Net Assets'!AA89-BG90</f>
        <v>0</v>
      </c>
    </row>
    <row r="91" spans="1:62">
      <c r="A91" s="16" t="s">
        <v>379</v>
      </c>
      <c r="B91" s="16"/>
      <c r="C91" s="16" t="s">
        <v>182</v>
      </c>
      <c r="E91" s="16">
        <v>47407</v>
      </c>
      <c r="G91" s="3">
        <v>113119</v>
      </c>
      <c r="H91" s="3"/>
      <c r="I91" s="3">
        <v>1382898</v>
      </c>
      <c r="J91" s="3"/>
      <c r="K91" s="3">
        <v>0</v>
      </c>
      <c r="L91" s="3"/>
      <c r="M91" s="3">
        <v>0</v>
      </c>
      <c r="N91" s="3"/>
      <c r="O91" s="3">
        <v>1125281</v>
      </c>
      <c r="P91" s="3"/>
      <c r="Q91" s="3">
        <v>1735063</v>
      </c>
      <c r="R91" s="3"/>
      <c r="S91" s="3">
        <v>52168</v>
      </c>
      <c r="T91" s="3"/>
      <c r="U91" s="3">
        <v>600435</v>
      </c>
      <c r="V91" s="3"/>
      <c r="W91" s="3">
        <v>218383</v>
      </c>
      <c r="X91" s="3"/>
      <c r="Y91" s="3">
        <v>0</v>
      </c>
      <c r="Z91" s="3"/>
      <c r="AA91" s="3">
        <v>79881</v>
      </c>
      <c r="AB91" s="3"/>
      <c r="AC91" s="16" t="s">
        <v>379</v>
      </c>
      <c r="AD91" s="16"/>
      <c r="AE91" s="16" t="s">
        <v>182</v>
      </c>
      <c r="AF91" s="16"/>
      <c r="AG91" s="3">
        <v>95097</v>
      </c>
      <c r="AH91" s="3"/>
      <c r="AI91" s="3">
        <v>15615</v>
      </c>
      <c r="AJ91" s="3"/>
      <c r="AK91" s="3">
        <v>0</v>
      </c>
      <c r="AL91" s="3"/>
      <c r="AM91" s="3">
        <v>0</v>
      </c>
      <c r="AN91" s="3"/>
      <c r="AO91" s="3">
        <v>3996</v>
      </c>
      <c r="AP91" s="3"/>
      <c r="AQ91" s="3">
        <v>0</v>
      </c>
      <c r="AR91" s="3"/>
      <c r="AS91" s="3">
        <v>0</v>
      </c>
      <c r="AT91" s="3"/>
      <c r="AU91" s="3">
        <v>0</v>
      </c>
      <c r="AV91" s="3"/>
      <c r="AW91" s="3"/>
      <c r="AX91" s="3"/>
      <c r="AY91" s="3">
        <v>0</v>
      </c>
      <c r="AZ91" s="3"/>
      <c r="BA91" s="3">
        <f t="shared" si="2"/>
        <v>5421936</v>
      </c>
      <c r="BB91" s="3"/>
      <c r="BC91" s="3">
        <f>+'St of Act-Rev'!AG90-BA91</f>
        <v>-113058</v>
      </c>
      <c r="BD91" s="3"/>
      <c r="BE91" s="3">
        <v>101118</v>
      </c>
      <c r="BF91" s="3"/>
      <c r="BG91" s="3">
        <f t="shared" si="3"/>
        <v>-11940</v>
      </c>
      <c r="BH91" s="3"/>
      <c r="BI91" s="3">
        <f>+'St of Net Assets'!AA90-BG91</f>
        <v>0</v>
      </c>
    </row>
    <row r="92" spans="1:62">
      <c r="A92" s="16" t="s">
        <v>380</v>
      </c>
      <c r="B92" s="16"/>
      <c r="C92" s="16" t="s">
        <v>21</v>
      </c>
      <c r="E92" s="16">
        <v>47480</v>
      </c>
      <c r="G92" s="3">
        <v>141033</v>
      </c>
      <c r="H92" s="3"/>
      <c r="I92" s="3">
        <v>470671</v>
      </c>
      <c r="J92" s="3"/>
      <c r="K92" s="3">
        <v>0</v>
      </c>
      <c r="L92" s="3"/>
      <c r="M92" s="3">
        <v>0</v>
      </c>
      <c r="N92" s="3"/>
      <c r="O92" s="3">
        <v>990007</v>
      </c>
      <c r="P92" s="3"/>
      <c r="Q92" s="3">
        <v>234428</v>
      </c>
      <c r="R92" s="3"/>
      <c r="S92" s="3">
        <v>19510</v>
      </c>
      <c r="T92" s="3"/>
      <c r="U92" s="3">
        <v>193681</v>
      </c>
      <c r="V92" s="3"/>
      <c r="W92" s="3">
        <v>151646</v>
      </c>
      <c r="X92" s="3"/>
      <c r="Y92" s="3">
        <v>0</v>
      </c>
      <c r="Z92" s="3"/>
      <c r="AA92" s="3">
        <v>22432</v>
      </c>
      <c r="AB92" s="3"/>
      <c r="AC92" s="16" t="s">
        <v>380</v>
      </c>
      <c r="AD92" s="16"/>
      <c r="AE92" s="16" t="s">
        <v>21</v>
      </c>
      <c r="AF92" s="16"/>
      <c r="AG92" s="3">
        <v>0</v>
      </c>
      <c r="AH92" s="3"/>
      <c r="AI92" s="3">
        <v>106836</v>
      </c>
      <c r="AJ92" s="3"/>
      <c r="AK92" s="3">
        <v>0</v>
      </c>
      <c r="AL92" s="3"/>
      <c r="AM92" s="3">
        <v>0</v>
      </c>
      <c r="AN92" s="3"/>
      <c r="AO92" s="3">
        <v>0</v>
      </c>
      <c r="AP92" s="3"/>
      <c r="AQ92" s="3">
        <v>2324</v>
      </c>
      <c r="AR92" s="3"/>
      <c r="AS92" s="3">
        <v>0</v>
      </c>
      <c r="AT92" s="3"/>
      <c r="AU92" s="3">
        <v>0</v>
      </c>
      <c r="AV92" s="3"/>
      <c r="AW92" s="3"/>
      <c r="AX92" s="3"/>
      <c r="AY92" s="3">
        <v>602220</v>
      </c>
      <c r="AZ92" s="3"/>
      <c r="BA92" s="3">
        <f t="shared" si="2"/>
        <v>2934788</v>
      </c>
      <c r="BB92" s="3"/>
      <c r="BC92" s="3">
        <f>+'St of Act-Rev'!AG91-BA92</f>
        <v>12076</v>
      </c>
      <c r="BD92" s="3"/>
      <c r="BE92" s="3">
        <v>1386866</v>
      </c>
      <c r="BF92" s="3"/>
      <c r="BG92" s="3">
        <f t="shared" si="3"/>
        <v>1398942</v>
      </c>
      <c r="BH92" s="3"/>
      <c r="BI92" s="3">
        <f>+'St of Net Assets'!AA91-BG92</f>
        <v>0</v>
      </c>
    </row>
    <row r="93" spans="1:62">
      <c r="A93" s="16" t="s">
        <v>381</v>
      </c>
      <c r="B93" s="16"/>
      <c r="C93" s="16" t="s">
        <v>183</v>
      </c>
      <c r="E93" s="16">
        <v>47779</v>
      </c>
      <c r="G93" s="3">
        <v>195526</v>
      </c>
      <c r="H93" s="3"/>
      <c r="I93" s="3">
        <v>563866</v>
      </c>
      <c r="J93" s="3"/>
      <c r="K93" s="3">
        <v>0</v>
      </c>
      <c r="L93" s="3"/>
      <c r="M93" s="3">
        <v>6200</v>
      </c>
      <c r="N93" s="3"/>
      <c r="O93" s="3">
        <v>1756634</v>
      </c>
      <c r="P93" s="3"/>
      <c r="Q93" s="3">
        <v>3200648</v>
      </c>
      <c r="R93" s="3"/>
      <c r="S93" s="3">
        <v>22929</v>
      </c>
      <c r="T93" s="3"/>
      <c r="U93" s="3">
        <v>1067125</v>
      </c>
      <c r="V93" s="3"/>
      <c r="W93" s="3">
        <v>244249</v>
      </c>
      <c r="X93" s="3"/>
      <c r="Y93" s="3">
        <v>0</v>
      </c>
      <c r="Z93" s="3"/>
      <c r="AA93" s="3">
        <v>5926</v>
      </c>
      <c r="AB93" s="3"/>
      <c r="AC93" s="16" t="s">
        <v>381</v>
      </c>
      <c r="AD93" s="16"/>
      <c r="AE93" s="16" t="s">
        <v>183</v>
      </c>
      <c r="AF93" s="16"/>
      <c r="AG93" s="3">
        <v>0</v>
      </c>
      <c r="AH93" s="3"/>
      <c r="AI93" s="3">
        <v>5042</v>
      </c>
      <c r="AJ93" s="3"/>
      <c r="AK93" s="3">
        <v>0</v>
      </c>
      <c r="AL93" s="3"/>
      <c r="AM93" s="3">
        <v>0</v>
      </c>
      <c r="AN93" s="3"/>
      <c r="AO93" s="3">
        <v>0</v>
      </c>
      <c r="AP93" s="3"/>
      <c r="AQ93" s="3">
        <v>0</v>
      </c>
      <c r="AR93" s="3"/>
      <c r="AS93" s="3">
        <v>974</v>
      </c>
      <c r="AT93" s="3"/>
      <c r="AU93" s="3">
        <v>0</v>
      </c>
      <c r="AV93" s="3"/>
      <c r="AW93" s="3"/>
      <c r="AX93" s="3"/>
      <c r="AY93" s="3">
        <v>0</v>
      </c>
      <c r="AZ93" s="3"/>
      <c r="BA93" s="3">
        <f t="shared" si="2"/>
        <v>7069119</v>
      </c>
      <c r="BB93" s="3"/>
      <c r="BC93" s="3">
        <f>+'St of Act-Rev'!AG92-BA93</f>
        <v>-285124</v>
      </c>
      <c r="BD93" s="3"/>
      <c r="BE93" s="3">
        <v>3843869</v>
      </c>
      <c r="BF93" s="3"/>
      <c r="BG93" s="3">
        <f t="shared" si="3"/>
        <v>3558745</v>
      </c>
      <c r="BH93" s="3"/>
      <c r="BI93" s="3">
        <f>+'St of Net Assets'!AA92-BG93</f>
        <v>0</v>
      </c>
    </row>
    <row r="94" spans="1:62">
      <c r="A94" s="16" t="s">
        <v>382</v>
      </c>
      <c r="B94" s="16"/>
      <c r="C94" s="16" t="s">
        <v>184</v>
      </c>
      <c r="E94" s="16">
        <v>47811</v>
      </c>
      <c r="G94" s="3">
        <v>594686</v>
      </c>
      <c r="H94" s="3"/>
      <c r="I94" s="3">
        <v>4039504</v>
      </c>
      <c r="J94" s="3"/>
      <c r="K94" s="3">
        <v>0</v>
      </c>
      <c r="L94" s="3"/>
      <c r="M94" s="3">
        <v>0</v>
      </c>
      <c r="N94" s="3"/>
      <c r="O94" s="3">
        <v>741530</v>
      </c>
      <c r="P94" s="3"/>
      <c r="Q94" s="3">
        <v>873696</v>
      </c>
      <c r="R94" s="3"/>
      <c r="S94" s="3">
        <v>27987</v>
      </c>
      <c r="T94" s="3"/>
      <c r="U94" s="3">
        <v>389310</v>
      </c>
      <c r="V94" s="3"/>
      <c r="W94" s="3">
        <v>119554</v>
      </c>
      <c r="X94" s="3"/>
      <c r="Y94" s="3">
        <v>0</v>
      </c>
      <c r="Z94" s="3"/>
      <c r="AA94" s="3">
        <v>42375</v>
      </c>
      <c r="AB94" s="3"/>
      <c r="AC94" s="16" t="s">
        <v>382</v>
      </c>
      <c r="AD94" s="16"/>
      <c r="AE94" s="16" t="s">
        <v>184</v>
      </c>
      <c r="AF94" s="16"/>
      <c r="AG94" s="3">
        <v>0</v>
      </c>
      <c r="AH94" s="3"/>
      <c r="AI94" s="3">
        <v>890</v>
      </c>
      <c r="AJ94" s="3"/>
      <c r="AK94" s="3">
        <v>0</v>
      </c>
      <c r="AL94" s="3"/>
      <c r="AM94" s="3">
        <v>0</v>
      </c>
      <c r="AN94" s="3"/>
      <c r="AO94" s="3">
        <v>0</v>
      </c>
      <c r="AP94" s="3"/>
      <c r="AQ94" s="3">
        <v>4751</v>
      </c>
      <c r="AR94" s="3"/>
      <c r="AS94" s="3">
        <v>0</v>
      </c>
      <c r="AT94" s="3"/>
      <c r="AU94" s="3">
        <v>0</v>
      </c>
      <c r="AV94" s="3"/>
      <c r="AW94" s="3"/>
      <c r="AX94" s="3"/>
      <c r="AY94" s="3">
        <v>0</v>
      </c>
      <c r="AZ94" s="3"/>
      <c r="BA94" s="3">
        <f t="shared" si="2"/>
        <v>6834283</v>
      </c>
      <c r="BB94" s="3"/>
      <c r="BC94" s="3">
        <f>+'St of Act-Rev'!AG93-BA94</f>
        <v>-971823</v>
      </c>
      <c r="BD94" s="3"/>
      <c r="BE94" s="3">
        <v>651666</v>
      </c>
      <c r="BF94" s="3"/>
      <c r="BG94" s="3">
        <f t="shared" si="3"/>
        <v>-320157</v>
      </c>
      <c r="BH94" s="3"/>
      <c r="BI94" s="3">
        <f>+'St of Net Assets'!AA93-BG94</f>
        <v>0</v>
      </c>
    </row>
    <row r="95" spans="1:62">
      <c r="A95" s="16" t="s">
        <v>383</v>
      </c>
      <c r="B95" s="16"/>
      <c r="C95" s="16" t="s">
        <v>154</v>
      </c>
      <c r="E95" s="16">
        <v>47860</v>
      </c>
      <c r="G95" s="3">
        <v>393260</v>
      </c>
      <c r="H95" s="3"/>
      <c r="I95" s="3">
        <v>2633821</v>
      </c>
      <c r="J95" s="3"/>
      <c r="K95" s="3">
        <v>449067</v>
      </c>
      <c r="L95" s="3"/>
      <c r="M95" s="3">
        <v>58245</v>
      </c>
      <c r="N95" s="3"/>
      <c r="O95" s="3">
        <v>2982719</v>
      </c>
      <c r="P95" s="3"/>
      <c r="Q95" s="3">
        <v>2202825</v>
      </c>
      <c r="R95" s="3"/>
      <c r="S95" s="3">
        <v>7302012</v>
      </c>
      <c r="T95" s="3"/>
      <c r="U95" s="3">
        <v>1737492</v>
      </c>
      <c r="V95" s="3"/>
      <c r="W95" s="3">
        <v>274773</v>
      </c>
      <c r="X95" s="3"/>
      <c r="Y95" s="3">
        <v>0</v>
      </c>
      <c r="Z95" s="3"/>
      <c r="AA95" s="3">
        <v>136433</v>
      </c>
      <c r="AB95" s="3"/>
      <c r="AC95" s="16" t="s">
        <v>383</v>
      </c>
      <c r="AD95" s="16"/>
      <c r="AE95" s="16" t="s">
        <v>154</v>
      </c>
      <c r="AF95" s="16"/>
      <c r="AG95" s="3">
        <v>151782</v>
      </c>
      <c r="AH95" s="3"/>
      <c r="AI95" s="3">
        <v>809884</v>
      </c>
      <c r="AJ95" s="3"/>
      <c r="AK95" s="3">
        <v>0</v>
      </c>
      <c r="AL95" s="3"/>
      <c r="AM95" s="3">
        <v>0</v>
      </c>
      <c r="AN95" s="3"/>
      <c r="AO95" s="3">
        <v>71447</v>
      </c>
      <c r="AP95" s="3"/>
      <c r="AQ95" s="3">
        <v>0</v>
      </c>
      <c r="AR95" s="3"/>
      <c r="AS95" s="3">
        <v>0</v>
      </c>
      <c r="AT95" s="3"/>
      <c r="AU95" s="3">
        <v>0</v>
      </c>
      <c r="AV95" s="3"/>
      <c r="AW95" s="3"/>
      <c r="AX95" s="3"/>
      <c r="AY95" s="3">
        <v>0</v>
      </c>
      <c r="AZ95" s="3"/>
      <c r="BA95" s="3">
        <f t="shared" si="2"/>
        <v>19203760</v>
      </c>
      <c r="BB95" s="3"/>
      <c r="BC95" s="3">
        <f>+'St of Act-Rev'!AG94-BA95</f>
        <v>1156598</v>
      </c>
      <c r="BD95" s="3"/>
      <c r="BE95" s="3">
        <v>574406</v>
      </c>
      <c r="BF95" s="3"/>
      <c r="BG95" s="3">
        <f t="shared" si="3"/>
        <v>1731004</v>
      </c>
      <c r="BH95" s="3"/>
      <c r="BI95" s="3">
        <f>+'St of Net Assets'!AA94-BG95</f>
        <v>0</v>
      </c>
    </row>
    <row r="96" spans="1:62">
      <c r="A96" s="16" t="s">
        <v>368</v>
      </c>
      <c r="B96" s="16"/>
      <c r="C96" s="16" t="s">
        <v>185</v>
      </c>
      <c r="E96" s="16">
        <v>47910</v>
      </c>
      <c r="G96" s="3">
        <v>210696</v>
      </c>
      <c r="H96" s="3"/>
      <c r="I96" s="3">
        <v>24570</v>
      </c>
      <c r="J96" s="3"/>
      <c r="K96" s="3">
        <v>0</v>
      </c>
      <c r="L96" s="3"/>
      <c r="M96" s="3">
        <v>0</v>
      </c>
      <c r="N96" s="3"/>
      <c r="O96" s="3">
        <v>410419</v>
      </c>
      <c r="P96" s="3"/>
      <c r="Q96" s="3">
        <v>298902</v>
      </c>
      <c r="R96" s="3"/>
      <c r="S96" s="3">
        <v>35132</v>
      </c>
      <c r="T96" s="3"/>
      <c r="U96" s="3">
        <v>230774</v>
      </c>
      <c r="V96" s="3"/>
      <c r="W96" s="3">
        <v>143386</v>
      </c>
      <c r="X96" s="3"/>
      <c r="Y96" s="3">
        <v>0</v>
      </c>
      <c r="Z96" s="3"/>
      <c r="AA96" s="3">
        <v>28314</v>
      </c>
      <c r="AB96" s="3"/>
      <c r="AC96" s="16" t="s">
        <v>368</v>
      </c>
      <c r="AD96" s="16"/>
      <c r="AE96" s="16" t="s">
        <v>185</v>
      </c>
      <c r="AF96" s="16"/>
      <c r="AG96" s="3">
        <v>0</v>
      </c>
      <c r="AH96" s="3"/>
      <c r="AI96" s="3">
        <v>153042</v>
      </c>
      <c r="AJ96" s="3"/>
      <c r="AK96" s="3">
        <v>0</v>
      </c>
      <c r="AL96" s="3"/>
      <c r="AM96" s="3">
        <v>0</v>
      </c>
      <c r="AN96" s="3"/>
      <c r="AO96" s="3">
        <v>0</v>
      </c>
      <c r="AP96" s="3"/>
      <c r="AQ96" s="3">
        <v>0</v>
      </c>
      <c r="AR96" s="3"/>
      <c r="AS96" s="3">
        <v>0</v>
      </c>
      <c r="AT96" s="3"/>
      <c r="AU96" s="3">
        <v>0</v>
      </c>
      <c r="AV96" s="3"/>
      <c r="AW96" s="3"/>
      <c r="AX96" s="3"/>
      <c r="AY96" s="3">
        <v>384033</v>
      </c>
      <c r="AZ96" s="3"/>
      <c r="BA96" s="3">
        <f t="shared" si="2"/>
        <v>1919268</v>
      </c>
      <c r="BB96" s="3"/>
      <c r="BC96" s="3">
        <f>+'St of Act-Rev'!AG95-BA96</f>
        <v>-236354</v>
      </c>
      <c r="BD96" s="3"/>
      <c r="BE96" s="3">
        <v>400750</v>
      </c>
      <c r="BF96" s="3"/>
      <c r="BG96" s="3">
        <f t="shared" si="3"/>
        <v>164396</v>
      </c>
      <c r="BH96" s="3"/>
      <c r="BI96" s="3">
        <f>+'St of Net Assets'!AA95-BG96</f>
        <v>0</v>
      </c>
    </row>
    <row r="97" spans="1:62">
      <c r="A97" s="3" t="s">
        <v>369</v>
      </c>
      <c r="B97" s="3"/>
      <c r="C97" s="3" t="s">
        <v>187</v>
      </c>
      <c r="E97" s="16"/>
      <c r="G97" s="3">
        <v>0</v>
      </c>
      <c r="H97" s="3"/>
      <c r="I97" s="3">
        <v>2903741</v>
      </c>
      <c r="J97" s="3"/>
      <c r="K97" s="3">
        <v>0</v>
      </c>
      <c r="L97" s="3"/>
      <c r="M97" s="3">
        <v>0</v>
      </c>
      <c r="N97" s="3"/>
      <c r="O97" s="3">
        <v>1844956</v>
      </c>
      <c r="P97" s="3"/>
      <c r="Q97" s="3">
        <v>4765216</v>
      </c>
      <c r="R97" s="3"/>
      <c r="S97" s="3">
        <v>12679</v>
      </c>
      <c r="T97" s="3"/>
      <c r="U97" s="3">
        <v>942093</v>
      </c>
      <c r="V97" s="3"/>
      <c r="W97" s="3">
        <v>287899</v>
      </c>
      <c r="X97" s="3"/>
      <c r="Y97" s="3">
        <v>8033</v>
      </c>
      <c r="Z97" s="3"/>
      <c r="AA97" s="3">
        <v>88711</v>
      </c>
      <c r="AB97" s="3"/>
      <c r="AC97" s="3" t="s">
        <v>369</v>
      </c>
      <c r="AD97" s="3"/>
      <c r="AE97" s="3" t="s">
        <v>187</v>
      </c>
      <c r="AF97" s="3"/>
      <c r="AG97" s="3">
        <v>0</v>
      </c>
      <c r="AH97" s="3"/>
      <c r="AI97" s="3">
        <v>266101</v>
      </c>
      <c r="AJ97" s="3"/>
      <c r="AK97" s="3">
        <v>0</v>
      </c>
      <c r="AL97" s="3"/>
      <c r="AM97" s="3">
        <v>0</v>
      </c>
      <c r="AN97" s="3"/>
      <c r="AO97" s="3">
        <v>0</v>
      </c>
      <c r="AP97" s="3"/>
      <c r="AQ97" s="3">
        <v>0</v>
      </c>
      <c r="AR97" s="3"/>
      <c r="AS97" s="3">
        <v>3164</v>
      </c>
      <c r="AT97" s="3"/>
      <c r="AU97" s="3">
        <v>0</v>
      </c>
      <c r="AV97" s="3"/>
      <c r="AW97" s="3"/>
      <c r="AX97" s="3"/>
      <c r="AY97" s="3">
        <v>148811</v>
      </c>
      <c r="AZ97" s="3"/>
      <c r="BA97" s="3">
        <f t="shared" si="2"/>
        <v>11271404</v>
      </c>
      <c r="BB97" s="3"/>
      <c r="BC97" s="3">
        <f>+'St of Act-Rev'!AG96-BA97</f>
        <v>-418199</v>
      </c>
      <c r="BD97" s="3"/>
      <c r="BE97" s="3">
        <v>2237991</v>
      </c>
      <c r="BF97" s="3"/>
      <c r="BG97" s="3">
        <f>+BC97+BE97</f>
        <v>1819792</v>
      </c>
      <c r="BH97" s="3"/>
      <c r="BI97" s="3">
        <f>+'St of Net Assets'!AA96-BG97</f>
        <v>0</v>
      </c>
    </row>
    <row r="98" spans="1:62">
      <c r="A98" s="16" t="s">
        <v>370</v>
      </c>
      <c r="B98" s="16"/>
      <c r="C98" s="16" t="s">
        <v>188</v>
      </c>
      <c r="E98" s="16">
        <v>48058</v>
      </c>
      <c r="G98" s="3">
        <v>0</v>
      </c>
      <c r="H98" s="3"/>
      <c r="I98" s="3">
        <v>2195687</v>
      </c>
      <c r="J98" s="3"/>
      <c r="K98" s="3">
        <v>0</v>
      </c>
      <c r="L98" s="3"/>
      <c r="M98" s="3">
        <v>0</v>
      </c>
      <c r="N98" s="3"/>
      <c r="O98" s="3">
        <v>485230</v>
      </c>
      <c r="P98" s="3"/>
      <c r="Q98" s="3">
        <v>257282</v>
      </c>
      <c r="R98" s="3"/>
      <c r="S98" s="3">
        <v>15609</v>
      </c>
      <c r="T98" s="3"/>
      <c r="U98" s="3">
        <v>163220</v>
      </c>
      <c r="V98" s="3"/>
      <c r="W98" s="3">
        <v>324449</v>
      </c>
      <c r="X98" s="3"/>
      <c r="Y98" s="3">
        <v>0</v>
      </c>
      <c r="Z98" s="3"/>
      <c r="AA98" s="3">
        <v>8689</v>
      </c>
      <c r="AB98" s="3"/>
      <c r="AC98" s="16" t="s">
        <v>370</v>
      </c>
      <c r="AD98" s="16"/>
      <c r="AE98" s="16" t="s">
        <v>188</v>
      </c>
      <c r="AF98" s="16"/>
      <c r="AG98" s="3">
        <v>0</v>
      </c>
      <c r="AH98" s="3"/>
      <c r="AI98" s="3">
        <v>30610</v>
      </c>
      <c r="AJ98" s="3"/>
      <c r="AK98" s="3">
        <v>0</v>
      </c>
      <c r="AL98" s="3"/>
      <c r="AM98" s="3">
        <v>0</v>
      </c>
      <c r="AN98" s="3"/>
      <c r="AO98" s="3">
        <v>37213</v>
      </c>
      <c r="AP98" s="3"/>
      <c r="AQ98" s="3">
        <v>398</v>
      </c>
      <c r="AR98" s="3"/>
      <c r="AS98" s="3">
        <v>0</v>
      </c>
      <c r="AT98" s="3"/>
      <c r="AU98" s="3">
        <v>0</v>
      </c>
      <c r="AV98" s="3"/>
      <c r="AW98" s="3"/>
      <c r="AX98" s="3"/>
      <c r="AY98" s="3">
        <v>0</v>
      </c>
      <c r="AZ98" s="3"/>
      <c r="BA98" s="3">
        <f t="shared" si="2"/>
        <v>3518387</v>
      </c>
      <c r="BB98" s="3"/>
      <c r="BC98" s="3">
        <f>+'St of Act-Rev'!AG97-BA98</f>
        <v>95482</v>
      </c>
      <c r="BD98" s="3"/>
      <c r="BE98" s="3">
        <v>510425</v>
      </c>
      <c r="BF98" s="3"/>
      <c r="BG98" s="3">
        <f t="shared" si="3"/>
        <v>605907</v>
      </c>
      <c r="BH98" s="3"/>
      <c r="BI98" s="3">
        <f>+'St of Net Assets'!AA97-BG98</f>
        <v>0</v>
      </c>
    </row>
    <row r="99" spans="1:62">
      <c r="A99" s="16" t="s">
        <v>371</v>
      </c>
      <c r="B99" s="16"/>
      <c r="C99" s="16" t="s">
        <v>150</v>
      </c>
      <c r="E99" s="16">
        <v>48108</v>
      </c>
      <c r="G99" s="3">
        <v>807003</v>
      </c>
      <c r="H99" s="3"/>
      <c r="I99" s="3">
        <v>1407402</v>
      </c>
      <c r="J99" s="3"/>
      <c r="K99" s="3">
        <v>0</v>
      </c>
      <c r="L99" s="3"/>
      <c r="M99" s="3">
        <v>0</v>
      </c>
      <c r="N99" s="3"/>
      <c r="O99" s="3">
        <v>1623736</v>
      </c>
      <c r="P99" s="3"/>
      <c r="Q99" s="3">
        <v>5025553</v>
      </c>
      <c r="R99" s="3"/>
      <c r="S99" s="3">
        <v>34940</v>
      </c>
      <c r="T99" s="3"/>
      <c r="U99" s="3">
        <v>726842</v>
      </c>
      <c r="V99" s="3"/>
      <c r="W99" s="3">
        <v>335485</v>
      </c>
      <c r="X99" s="3"/>
      <c r="Y99" s="3">
        <v>524622</v>
      </c>
      <c r="Z99" s="3"/>
      <c r="AA99" s="3">
        <v>300538</v>
      </c>
      <c r="AB99" s="3"/>
      <c r="AC99" s="16" t="s">
        <v>371</v>
      </c>
      <c r="AD99" s="16"/>
      <c r="AE99" s="16" t="s">
        <v>150</v>
      </c>
      <c r="AF99" s="16"/>
      <c r="AG99" s="3">
        <v>0</v>
      </c>
      <c r="AH99" s="3"/>
      <c r="AI99" s="3">
        <v>0</v>
      </c>
      <c r="AJ99" s="3"/>
      <c r="AK99" s="3">
        <v>0</v>
      </c>
      <c r="AL99" s="3"/>
      <c r="AM99" s="3">
        <v>0</v>
      </c>
      <c r="AN99" s="3"/>
      <c r="AO99" s="3">
        <v>47867</v>
      </c>
      <c r="AP99" s="3"/>
      <c r="AQ99" s="3">
        <v>12264</v>
      </c>
      <c r="AR99" s="3"/>
      <c r="AS99" s="3">
        <v>21</v>
      </c>
      <c r="AT99" s="3"/>
      <c r="AU99" s="3">
        <v>0</v>
      </c>
      <c r="AV99" s="3"/>
      <c r="AW99" s="3"/>
      <c r="AX99" s="3"/>
      <c r="AY99" s="3">
        <v>0</v>
      </c>
      <c r="AZ99" s="3"/>
      <c r="BA99" s="3">
        <f t="shared" si="2"/>
        <v>10846273</v>
      </c>
      <c r="BB99" s="3"/>
      <c r="BC99" s="3">
        <f>+'St of Act-Rev'!AG98-BA99</f>
        <v>-107840</v>
      </c>
      <c r="BD99" s="3"/>
      <c r="BE99" s="3">
        <v>3945763</v>
      </c>
      <c r="BF99" s="3"/>
      <c r="BG99" s="3">
        <f t="shared" si="3"/>
        <v>3837923</v>
      </c>
      <c r="BH99" s="3"/>
      <c r="BI99" s="3">
        <f>+'St of Net Assets'!AA98-BG99</f>
        <v>0</v>
      </c>
    </row>
    <row r="100" spans="1:62">
      <c r="A100" s="16" t="s">
        <v>372</v>
      </c>
      <c r="B100" s="16"/>
      <c r="C100" s="16" t="s">
        <v>189</v>
      </c>
      <c r="E100" s="16">
        <v>48199</v>
      </c>
      <c r="G100" s="3">
        <v>55319</v>
      </c>
      <c r="H100" s="3"/>
      <c r="I100" s="3">
        <v>6415718</v>
      </c>
      <c r="J100" s="3"/>
      <c r="K100" s="3">
        <v>104996</v>
      </c>
      <c r="L100" s="3"/>
      <c r="M100" s="3">
        <f>44322+114788</f>
        <v>159110</v>
      </c>
      <c r="N100" s="3"/>
      <c r="O100" s="3">
        <v>5745174</v>
      </c>
      <c r="P100" s="3"/>
      <c r="Q100" s="3">
        <v>5738601</v>
      </c>
      <c r="R100" s="3"/>
      <c r="S100" s="3">
        <v>23307</v>
      </c>
      <c r="T100" s="3"/>
      <c r="U100" s="3">
        <v>2489404</v>
      </c>
      <c r="V100" s="3"/>
      <c r="W100" s="3">
        <v>1172068</v>
      </c>
      <c r="X100" s="3"/>
      <c r="Y100" s="3">
        <v>76019</v>
      </c>
      <c r="Z100" s="3"/>
      <c r="AA100" s="3">
        <v>1017608</v>
      </c>
      <c r="AB100" s="3"/>
      <c r="AC100" s="16" t="s">
        <v>372</v>
      </c>
      <c r="AD100" s="16"/>
      <c r="AE100" s="16" t="s">
        <v>189</v>
      </c>
      <c r="AF100" s="16"/>
      <c r="AG100" s="3">
        <v>23452</v>
      </c>
      <c r="AH100" s="3"/>
      <c r="AI100" s="3">
        <v>239087</v>
      </c>
      <c r="AJ100" s="3"/>
      <c r="AK100" s="3">
        <v>0</v>
      </c>
      <c r="AL100" s="3"/>
      <c r="AM100" s="3">
        <v>32141</v>
      </c>
      <c r="AN100" s="3"/>
      <c r="AO100" s="3">
        <v>3526599</v>
      </c>
      <c r="AP100" s="3"/>
      <c r="AQ100" s="3">
        <v>307</v>
      </c>
      <c r="AR100" s="3"/>
      <c r="AS100" s="3">
        <v>0</v>
      </c>
      <c r="AT100" s="3"/>
      <c r="AU100" s="3">
        <v>0</v>
      </c>
      <c r="AV100" s="3"/>
      <c r="AW100" s="3"/>
      <c r="AX100" s="3"/>
      <c r="AY100" s="3">
        <v>0</v>
      </c>
      <c r="AZ100" s="3"/>
      <c r="BA100" s="3">
        <f t="shared" si="2"/>
        <v>26818910</v>
      </c>
      <c r="BB100" s="3"/>
      <c r="BC100" s="3">
        <f>+'St of Act-Rev'!AG99-BA100</f>
        <v>-627426</v>
      </c>
      <c r="BD100" s="3"/>
      <c r="BE100" s="3">
        <v>7875599</v>
      </c>
      <c r="BF100" s="3"/>
      <c r="BG100" s="3">
        <f t="shared" si="3"/>
        <v>7248173</v>
      </c>
      <c r="BH100" s="3"/>
      <c r="BI100" s="3">
        <f>+'St of Net Assets'!AA99-BG100</f>
        <v>0</v>
      </c>
    </row>
    <row r="101" spans="1:62" s="24" customFormat="1">
      <c r="A101" s="16" t="s">
        <v>159</v>
      </c>
      <c r="B101" s="16"/>
      <c r="C101" s="16" t="s">
        <v>160</v>
      </c>
      <c r="E101" s="16">
        <v>137364</v>
      </c>
      <c r="G101" s="3">
        <v>413802</v>
      </c>
      <c r="H101" s="3"/>
      <c r="I101" s="3">
        <v>3205840</v>
      </c>
      <c r="J101" s="3"/>
      <c r="K101" s="3">
        <v>26128</v>
      </c>
      <c r="L101" s="3"/>
      <c r="M101" s="3">
        <v>0</v>
      </c>
      <c r="N101" s="3"/>
      <c r="O101" s="3">
        <v>2820231</v>
      </c>
      <c r="P101" s="3"/>
      <c r="Q101" s="3">
        <v>2589196</v>
      </c>
      <c r="R101" s="3"/>
      <c r="S101" s="3">
        <v>30522</v>
      </c>
      <c r="T101" s="3"/>
      <c r="U101" s="3">
        <v>1504526</v>
      </c>
      <c r="V101" s="3"/>
      <c r="W101" s="3">
        <v>353986</v>
      </c>
      <c r="X101" s="3"/>
      <c r="Y101" s="3">
        <v>5851</v>
      </c>
      <c r="Z101" s="3"/>
      <c r="AA101" s="3">
        <v>29259</v>
      </c>
      <c r="AB101" s="3"/>
      <c r="AC101" s="16" t="s">
        <v>159</v>
      </c>
      <c r="AD101" s="16"/>
      <c r="AE101" s="16" t="s">
        <v>160</v>
      </c>
      <c r="AF101" s="16"/>
      <c r="AG101" s="3">
        <v>229331</v>
      </c>
      <c r="AH101" s="3"/>
      <c r="AI101" s="3">
        <v>155468</v>
      </c>
      <c r="AJ101" s="3"/>
      <c r="AK101" s="3">
        <v>0</v>
      </c>
      <c r="AL101" s="3"/>
      <c r="AM101" s="3">
        <v>61388</v>
      </c>
      <c r="AN101" s="3"/>
      <c r="AO101" s="3">
        <v>0</v>
      </c>
      <c r="AP101" s="3"/>
      <c r="AQ101" s="3">
        <v>282</v>
      </c>
      <c r="AR101" s="3"/>
      <c r="AS101" s="3">
        <v>7984</v>
      </c>
      <c r="AT101" s="3"/>
      <c r="AU101" s="3">
        <v>0</v>
      </c>
      <c r="AV101" s="3"/>
      <c r="AW101" s="3"/>
      <c r="AX101" s="3"/>
      <c r="AY101" s="3">
        <v>0</v>
      </c>
      <c r="AZ101" s="3"/>
      <c r="BA101" s="3">
        <f t="shared" si="2"/>
        <v>11433794</v>
      </c>
      <c r="BB101" s="3"/>
      <c r="BC101" s="3">
        <f>+'St of Act-Rev'!AG100-BA101</f>
        <v>-373279</v>
      </c>
      <c r="BD101" s="3"/>
      <c r="BE101" s="3">
        <v>-82937</v>
      </c>
      <c r="BF101" s="3"/>
      <c r="BG101" s="3">
        <f t="shared" si="3"/>
        <v>-456216</v>
      </c>
      <c r="BH101" s="3"/>
      <c r="BI101" s="3">
        <f>+'St of Net Assets'!AA100-BG101</f>
        <v>0</v>
      </c>
      <c r="BJ101" s="27"/>
    </row>
    <row r="102" spans="1:62" s="24" customFormat="1">
      <c r="A102" s="16" t="s">
        <v>190</v>
      </c>
      <c r="B102" s="16"/>
      <c r="C102" s="16" t="s">
        <v>191</v>
      </c>
      <c r="E102" s="16">
        <v>48280</v>
      </c>
      <c r="G102" s="3">
        <v>1732995</v>
      </c>
      <c r="H102" s="3"/>
      <c r="I102" s="3">
        <v>6036952</v>
      </c>
      <c r="J102" s="3"/>
      <c r="K102" s="3">
        <v>62099</v>
      </c>
      <c r="L102" s="3"/>
      <c r="M102" s="3">
        <v>792</v>
      </c>
      <c r="N102" s="3"/>
      <c r="O102" s="3">
        <v>5441998</v>
      </c>
      <c r="P102" s="3"/>
      <c r="Q102" s="3">
        <v>5641898</v>
      </c>
      <c r="R102" s="3"/>
      <c r="S102" s="3">
        <v>42703</v>
      </c>
      <c r="T102" s="3"/>
      <c r="U102" s="3">
        <v>985515</v>
      </c>
      <c r="V102" s="3"/>
      <c r="W102" s="3">
        <v>729126</v>
      </c>
      <c r="X102" s="3"/>
      <c r="Y102" s="3">
        <v>316748</v>
      </c>
      <c r="Z102" s="3"/>
      <c r="AA102" s="3">
        <v>392969</v>
      </c>
      <c r="AB102" s="3"/>
      <c r="AC102" s="16" t="s">
        <v>190</v>
      </c>
      <c r="AD102" s="16"/>
      <c r="AE102" s="16" t="s">
        <v>191</v>
      </c>
      <c r="AF102" s="16"/>
      <c r="AG102" s="3">
        <v>37178</v>
      </c>
      <c r="AH102" s="3"/>
      <c r="AI102" s="3">
        <v>1094433</v>
      </c>
      <c r="AJ102" s="3"/>
      <c r="AK102" s="3">
        <v>0</v>
      </c>
      <c r="AL102" s="3"/>
      <c r="AM102" s="3">
        <v>0</v>
      </c>
      <c r="AN102" s="3"/>
      <c r="AO102" s="3">
        <v>187718</v>
      </c>
      <c r="AP102" s="3"/>
      <c r="AQ102" s="3">
        <v>0</v>
      </c>
      <c r="AR102" s="3"/>
      <c r="AS102" s="3">
        <v>0</v>
      </c>
      <c r="AT102" s="3"/>
      <c r="AU102" s="3">
        <v>0</v>
      </c>
      <c r="AV102" s="3"/>
      <c r="AW102" s="3"/>
      <c r="AX102" s="3"/>
      <c r="AY102" s="3">
        <v>0</v>
      </c>
      <c r="AZ102" s="3"/>
      <c r="BA102" s="3">
        <f t="shared" si="2"/>
        <v>22703124</v>
      </c>
      <c r="BB102" s="3"/>
      <c r="BC102" s="3">
        <f>+'St of Act-Rev'!AG101-BA102</f>
        <v>-1988612</v>
      </c>
      <c r="BD102" s="3"/>
      <c r="BE102" s="3">
        <v>6624747</v>
      </c>
      <c r="BF102" s="3"/>
      <c r="BG102" s="3">
        <f t="shared" si="3"/>
        <v>4636135</v>
      </c>
      <c r="BH102" s="3"/>
      <c r="BI102" s="3">
        <f>+'St of Net Assets'!AA101-BG102</f>
        <v>0</v>
      </c>
      <c r="BJ102" s="27"/>
    </row>
    <row r="103" spans="1:62" s="24" customFormat="1">
      <c r="A103" s="16" t="s">
        <v>192</v>
      </c>
      <c r="B103" s="16"/>
      <c r="C103" s="16" t="s">
        <v>193</v>
      </c>
      <c r="E103" s="16">
        <v>48454</v>
      </c>
      <c r="G103" s="3">
        <v>332921</v>
      </c>
      <c r="H103" s="3"/>
      <c r="I103" s="3">
        <v>458706</v>
      </c>
      <c r="J103" s="3"/>
      <c r="K103" s="3">
        <v>60281</v>
      </c>
      <c r="L103" s="3"/>
      <c r="M103" s="3">
        <f>232960+17473</f>
        <v>250433</v>
      </c>
      <c r="N103" s="3"/>
      <c r="O103" s="3">
        <v>446943</v>
      </c>
      <c r="P103" s="3"/>
      <c r="Q103" s="3">
        <v>3034169</v>
      </c>
      <c r="R103" s="3"/>
      <c r="S103" s="3">
        <v>38666</v>
      </c>
      <c r="T103" s="3"/>
      <c r="U103" s="3">
        <v>190700</v>
      </c>
      <c r="V103" s="3"/>
      <c r="W103" s="3">
        <v>253089</v>
      </c>
      <c r="X103" s="3"/>
      <c r="Y103" s="3">
        <v>274334</v>
      </c>
      <c r="Z103" s="3"/>
      <c r="AA103" s="3">
        <v>0</v>
      </c>
      <c r="AB103" s="3"/>
      <c r="AC103" s="16" t="s">
        <v>192</v>
      </c>
      <c r="AD103" s="16"/>
      <c r="AE103" s="16" t="s">
        <v>193</v>
      </c>
      <c r="AF103" s="16"/>
      <c r="AG103" s="3">
        <v>18044</v>
      </c>
      <c r="AH103" s="3"/>
      <c r="AI103" s="3">
        <v>306619</v>
      </c>
      <c r="AJ103" s="3"/>
      <c r="AK103" s="3">
        <v>0</v>
      </c>
      <c r="AL103" s="3"/>
      <c r="AM103" s="3">
        <v>0</v>
      </c>
      <c r="AN103" s="3"/>
      <c r="AO103" s="3">
        <v>0</v>
      </c>
      <c r="AP103" s="3"/>
      <c r="AQ103" s="3">
        <v>17706</v>
      </c>
      <c r="AR103" s="3"/>
      <c r="AS103" s="3">
        <v>0</v>
      </c>
      <c r="AT103" s="3"/>
      <c r="AU103" s="3">
        <v>0</v>
      </c>
      <c r="AV103" s="3"/>
      <c r="AW103" s="3"/>
      <c r="AX103" s="3"/>
      <c r="AY103" s="3">
        <v>0</v>
      </c>
      <c r="AZ103" s="3"/>
      <c r="BA103" s="3">
        <f t="shared" si="2"/>
        <v>5682611</v>
      </c>
      <c r="BB103" s="3"/>
      <c r="BC103" s="3">
        <f>+'St of Act-Rev'!AG102-BA103</f>
        <v>120344</v>
      </c>
      <c r="BD103" s="3"/>
      <c r="BE103" s="3">
        <v>2028807</v>
      </c>
      <c r="BF103" s="3"/>
      <c r="BG103" s="3">
        <f t="shared" si="3"/>
        <v>2149151</v>
      </c>
      <c r="BH103" s="3"/>
      <c r="BI103" s="3">
        <f>+'St of Net Assets'!AA102-BG103</f>
        <v>0</v>
      </c>
      <c r="BJ103" s="27"/>
    </row>
    <row r="104" spans="1:62" s="24" customFormat="1" hidden="1">
      <c r="A104" s="3" t="s">
        <v>348</v>
      </c>
      <c r="B104" s="16"/>
      <c r="C104" s="16" t="s">
        <v>195</v>
      </c>
      <c r="E104" s="16">
        <v>48546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6" t="s">
        <v>194</v>
      </c>
      <c r="AD104" s="16"/>
      <c r="AE104" s="16" t="s">
        <v>195</v>
      </c>
      <c r="AF104" s="16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>
        <f t="shared" si="2"/>
        <v>0</v>
      </c>
      <c r="BB104" s="3"/>
      <c r="BC104" s="3">
        <f>+'St of Act-Rev'!AG103-BA104</f>
        <v>0</v>
      </c>
      <c r="BD104" s="3"/>
      <c r="BE104" s="3"/>
      <c r="BF104" s="3"/>
      <c r="BG104" s="3">
        <f t="shared" si="3"/>
        <v>0</v>
      </c>
      <c r="BH104" s="3"/>
      <c r="BI104" s="3">
        <f>+'St of Net Assets'!AA103-BG104</f>
        <v>0</v>
      </c>
      <c r="BJ104" s="27"/>
    </row>
    <row r="105" spans="1:62" s="24" customFormat="1">
      <c r="A105" s="16" t="s">
        <v>196</v>
      </c>
      <c r="B105" s="16"/>
      <c r="C105" s="16" t="s">
        <v>197</v>
      </c>
      <c r="E105" s="16">
        <v>48603</v>
      </c>
      <c r="G105" s="3">
        <v>127171</v>
      </c>
      <c r="H105" s="3"/>
      <c r="I105" s="3">
        <v>4280581</v>
      </c>
      <c r="J105" s="3"/>
      <c r="K105" s="3">
        <v>0</v>
      </c>
      <c r="L105" s="3"/>
      <c r="M105" s="3">
        <v>0</v>
      </c>
      <c r="N105" s="3"/>
      <c r="O105" s="3">
        <v>2723472</v>
      </c>
      <c r="P105" s="3"/>
      <c r="Q105" s="3">
        <v>2425627</v>
      </c>
      <c r="R105" s="3"/>
      <c r="S105" s="3">
        <v>15904</v>
      </c>
      <c r="T105" s="3"/>
      <c r="U105" s="3">
        <v>1297192</v>
      </c>
      <c r="V105" s="3"/>
      <c r="W105" s="3">
        <v>218063</v>
      </c>
      <c r="X105" s="3"/>
      <c r="Y105" s="3">
        <v>0</v>
      </c>
      <c r="Z105" s="3"/>
      <c r="AA105" s="3">
        <v>64566</v>
      </c>
      <c r="AB105" s="3"/>
      <c r="AC105" s="16" t="s">
        <v>196</v>
      </c>
      <c r="AD105" s="16"/>
      <c r="AE105" s="16" t="s">
        <v>197</v>
      </c>
      <c r="AF105" s="16"/>
      <c r="AG105" s="3">
        <v>10537</v>
      </c>
      <c r="AH105" s="3"/>
      <c r="AI105" s="3">
        <v>425350</v>
      </c>
      <c r="AJ105" s="3"/>
      <c r="AK105" s="3">
        <v>0</v>
      </c>
      <c r="AL105" s="3"/>
      <c r="AM105" s="3">
        <v>0</v>
      </c>
      <c r="AN105" s="3"/>
      <c r="AO105" s="3">
        <v>0</v>
      </c>
      <c r="AP105" s="3"/>
      <c r="AQ105" s="3">
        <v>15959</v>
      </c>
      <c r="AR105" s="3"/>
      <c r="AS105" s="3">
        <v>367</v>
      </c>
      <c r="AT105" s="3"/>
      <c r="AU105" s="3">
        <v>0</v>
      </c>
      <c r="AV105" s="3"/>
      <c r="AW105" s="3"/>
      <c r="AX105" s="3"/>
      <c r="AY105" s="3">
        <v>0</v>
      </c>
      <c r="AZ105" s="3"/>
      <c r="BA105" s="3">
        <f t="shared" si="2"/>
        <v>11604789</v>
      </c>
      <c r="BB105" s="3"/>
      <c r="BC105" s="3">
        <f>+'St of Act-Rev'!AG104-BA105</f>
        <v>10864</v>
      </c>
      <c r="BD105" s="3"/>
      <c r="BE105" s="3">
        <v>2604931</v>
      </c>
      <c r="BF105" s="3"/>
      <c r="BG105" s="3">
        <f t="shared" si="3"/>
        <v>2615795</v>
      </c>
      <c r="BH105" s="3"/>
      <c r="BI105" s="3">
        <f>+'St of Net Assets'!AA104-BG105</f>
        <v>0</v>
      </c>
      <c r="BJ105" s="27"/>
    </row>
    <row r="106" spans="1:62" s="24" customFormat="1" hidden="1">
      <c r="A106" s="3" t="s">
        <v>347</v>
      </c>
      <c r="B106" s="3"/>
      <c r="C106" s="3" t="s">
        <v>212</v>
      </c>
      <c r="E106" s="1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 t="s">
        <v>347</v>
      </c>
      <c r="AD106" s="3"/>
      <c r="AE106" s="3" t="s">
        <v>212</v>
      </c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>
        <f>SUM(G106:AZ106)</f>
        <v>0</v>
      </c>
      <c r="BB106" s="3"/>
      <c r="BC106" s="3">
        <f>+'St of Act-Rev'!AG105-BA106</f>
        <v>0</v>
      </c>
      <c r="BD106" s="3"/>
      <c r="BE106" s="3"/>
      <c r="BF106" s="3"/>
      <c r="BG106" s="3">
        <f>+BC106+BE106</f>
        <v>0</v>
      </c>
      <c r="BH106" s="3"/>
      <c r="BI106" s="3">
        <f>+'St of Net Assets'!AA105-BG106</f>
        <v>0</v>
      </c>
      <c r="BJ106" s="27"/>
    </row>
    <row r="107" spans="1:62" s="24" customFormat="1">
      <c r="A107" s="16" t="s">
        <v>198</v>
      </c>
      <c r="B107" s="16"/>
      <c r="C107" s="16" t="s">
        <v>199</v>
      </c>
      <c r="E107" s="16">
        <v>48660</v>
      </c>
      <c r="G107" s="3">
        <v>0</v>
      </c>
      <c r="H107" s="3"/>
      <c r="I107" s="3">
        <v>6528266</v>
      </c>
      <c r="J107" s="3"/>
      <c r="K107" s="3">
        <v>0</v>
      </c>
      <c r="L107" s="3"/>
      <c r="M107" s="3">
        <v>0</v>
      </c>
      <c r="N107" s="3"/>
      <c r="O107" s="3">
        <v>7951590</v>
      </c>
      <c r="P107" s="3"/>
      <c r="Q107" s="3">
        <v>9775411</v>
      </c>
      <c r="R107" s="3"/>
      <c r="S107" s="3">
        <v>78837</v>
      </c>
      <c r="T107" s="3"/>
      <c r="U107" s="3">
        <v>2113741</v>
      </c>
      <c r="V107" s="3"/>
      <c r="W107" s="3">
        <v>599560</v>
      </c>
      <c r="X107" s="3"/>
      <c r="Y107" s="3">
        <v>63685</v>
      </c>
      <c r="Z107" s="3"/>
      <c r="AA107" s="3">
        <v>1698180</v>
      </c>
      <c r="AB107" s="3"/>
      <c r="AC107" s="16" t="s">
        <v>198</v>
      </c>
      <c r="AD107" s="16"/>
      <c r="AE107" s="16" t="s">
        <v>199</v>
      </c>
      <c r="AF107" s="16"/>
      <c r="AG107" s="3">
        <v>1053534</v>
      </c>
      <c r="AH107" s="3"/>
      <c r="AI107" s="3">
        <v>1174860</v>
      </c>
      <c r="AJ107" s="3"/>
      <c r="AK107" s="3">
        <v>0</v>
      </c>
      <c r="AL107" s="3"/>
      <c r="AM107" s="3">
        <v>0</v>
      </c>
      <c r="AN107" s="3"/>
      <c r="AO107" s="3">
        <v>250697</v>
      </c>
      <c r="AP107" s="3"/>
      <c r="AQ107" s="3">
        <v>0</v>
      </c>
      <c r="AR107" s="3"/>
      <c r="AS107" s="3">
        <v>22120</v>
      </c>
      <c r="AT107" s="3"/>
      <c r="AU107" s="3">
        <v>0</v>
      </c>
      <c r="AV107" s="3"/>
      <c r="AW107" s="3"/>
      <c r="AX107" s="3"/>
      <c r="AY107" s="3">
        <v>0</v>
      </c>
      <c r="AZ107" s="3"/>
      <c r="BA107" s="3">
        <f t="shared" si="2"/>
        <v>31310481</v>
      </c>
      <c r="BB107" s="3"/>
      <c r="BC107" s="3">
        <f>+'St of Act-Rev'!AG106-BA107</f>
        <v>-690342</v>
      </c>
      <c r="BD107" s="3"/>
      <c r="BE107" s="3">
        <v>20136151</v>
      </c>
      <c r="BF107" s="3"/>
      <c r="BG107" s="3">
        <f t="shared" si="3"/>
        <v>19445809</v>
      </c>
      <c r="BH107" s="3"/>
      <c r="BI107" s="3">
        <f>+'St of Net Assets'!AA106-BG107</f>
        <v>0</v>
      </c>
      <c r="BJ107" s="27"/>
    </row>
    <row r="108" spans="1:62" s="24" customFormat="1">
      <c r="A108" s="16" t="s">
        <v>200</v>
      </c>
      <c r="B108" s="16"/>
      <c r="C108" s="16" t="s">
        <v>201</v>
      </c>
      <c r="E108" s="16">
        <v>125252</v>
      </c>
      <c r="G108" s="3">
        <v>3527378</v>
      </c>
      <c r="H108" s="3"/>
      <c r="I108" s="3">
        <v>0</v>
      </c>
      <c r="J108" s="3"/>
      <c r="K108" s="3">
        <v>0</v>
      </c>
      <c r="L108" s="3"/>
      <c r="M108" s="3">
        <v>0</v>
      </c>
      <c r="N108" s="3"/>
      <c r="O108" s="3">
        <v>1863782</v>
      </c>
      <c r="P108" s="3"/>
      <c r="Q108" s="3">
        <v>4232694</v>
      </c>
      <c r="R108" s="3"/>
      <c r="S108" s="3">
        <v>29980</v>
      </c>
      <c r="T108" s="3"/>
      <c r="U108" s="3">
        <v>723709</v>
      </c>
      <c r="V108" s="3"/>
      <c r="W108" s="3">
        <v>295154</v>
      </c>
      <c r="X108" s="3"/>
      <c r="Y108" s="3">
        <v>0</v>
      </c>
      <c r="Z108" s="3"/>
      <c r="AA108" s="3">
        <v>63264</v>
      </c>
      <c r="AB108" s="3"/>
      <c r="AC108" s="16" t="s">
        <v>200</v>
      </c>
      <c r="AD108" s="16"/>
      <c r="AE108" s="16" t="s">
        <v>201</v>
      </c>
      <c r="AF108" s="16"/>
      <c r="AG108" s="3">
        <v>12444</v>
      </c>
      <c r="AH108" s="3"/>
      <c r="AI108" s="3">
        <v>361478</v>
      </c>
      <c r="AJ108" s="3"/>
      <c r="AK108" s="3">
        <v>0</v>
      </c>
      <c r="AL108" s="3"/>
      <c r="AM108" s="3">
        <v>0</v>
      </c>
      <c r="AN108" s="3"/>
      <c r="AO108" s="3">
        <v>40511</v>
      </c>
      <c r="AP108" s="3"/>
      <c r="AQ108" s="3">
        <v>10331</v>
      </c>
      <c r="AR108" s="3"/>
      <c r="AS108" s="3">
        <v>0</v>
      </c>
      <c r="AT108" s="3"/>
      <c r="AU108" s="3">
        <v>0</v>
      </c>
      <c r="AV108" s="3"/>
      <c r="AW108" s="3"/>
      <c r="AX108" s="3"/>
      <c r="AY108" s="3">
        <v>123377</v>
      </c>
      <c r="AZ108" s="3"/>
      <c r="BA108" s="3">
        <f t="shared" si="2"/>
        <v>11284102</v>
      </c>
      <c r="BB108" s="3"/>
      <c r="BC108" s="3">
        <f>+'St of Act-Rev'!AG107-BA108</f>
        <v>-420559</v>
      </c>
      <c r="BD108" s="3"/>
      <c r="BE108" s="3">
        <v>2877542</v>
      </c>
      <c r="BF108" s="3"/>
      <c r="BG108" s="3">
        <f t="shared" si="3"/>
        <v>2456983</v>
      </c>
      <c r="BH108" s="3"/>
      <c r="BI108" s="3">
        <f>+'St of Net Assets'!AA107-BG108</f>
        <v>0</v>
      </c>
      <c r="BJ108" s="27"/>
    </row>
    <row r="109" spans="1:62">
      <c r="A109" s="16" t="s">
        <v>326</v>
      </c>
      <c r="B109" s="16"/>
      <c r="C109" s="16" t="s">
        <v>218</v>
      </c>
      <c r="E109" s="16">
        <v>123257</v>
      </c>
      <c r="G109" s="3">
        <v>1018973</v>
      </c>
      <c r="H109" s="3"/>
      <c r="I109" s="3">
        <v>5326874</v>
      </c>
      <c r="J109" s="3"/>
      <c r="K109" s="3">
        <v>0</v>
      </c>
      <c r="L109" s="3"/>
      <c r="M109" s="3">
        <v>0</v>
      </c>
      <c r="N109" s="3"/>
      <c r="O109" s="3">
        <v>4002939</v>
      </c>
      <c r="P109" s="3"/>
      <c r="Q109" s="3">
        <v>3347353</v>
      </c>
      <c r="R109" s="3"/>
      <c r="S109" s="3">
        <v>66963</v>
      </c>
      <c r="T109" s="3"/>
      <c r="U109" s="3">
        <v>1963255</v>
      </c>
      <c r="V109" s="3"/>
      <c r="W109" s="3">
        <v>595165</v>
      </c>
      <c r="X109" s="3"/>
      <c r="Y109" s="3">
        <v>114677</v>
      </c>
      <c r="Z109" s="3"/>
      <c r="AA109" s="3">
        <v>575182</v>
      </c>
      <c r="AB109" s="3"/>
      <c r="AC109" s="16" t="s">
        <v>326</v>
      </c>
      <c r="AD109" s="16"/>
      <c r="AE109" s="16" t="s">
        <v>218</v>
      </c>
      <c r="AF109" s="16"/>
      <c r="AG109" s="3">
        <v>146157</v>
      </c>
      <c r="AH109" s="3"/>
      <c r="AI109" s="3">
        <v>529212</v>
      </c>
      <c r="AJ109" s="3"/>
      <c r="AK109" s="3">
        <v>0</v>
      </c>
      <c r="AL109" s="3"/>
      <c r="AM109" s="3">
        <v>50877</v>
      </c>
      <c r="AN109" s="3"/>
      <c r="AO109" s="3">
        <v>88790</v>
      </c>
      <c r="AP109" s="3"/>
      <c r="AQ109" s="3">
        <v>0</v>
      </c>
      <c r="AR109" s="3"/>
      <c r="AS109" s="3">
        <v>0</v>
      </c>
      <c r="AT109" s="3"/>
      <c r="AU109" s="3">
        <v>0</v>
      </c>
      <c r="AV109" s="3"/>
      <c r="AW109" s="3"/>
      <c r="AX109" s="3"/>
      <c r="AY109" s="3">
        <v>0</v>
      </c>
      <c r="AZ109" s="3"/>
      <c r="BA109" s="3">
        <f t="shared" si="2"/>
        <v>17826417</v>
      </c>
      <c r="BB109" s="3"/>
      <c r="BC109" s="3">
        <f>+'St of Act-Rev'!AG108-BA109</f>
        <v>633515</v>
      </c>
      <c r="BD109" s="3"/>
      <c r="BE109" s="3">
        <v>400633</v>
      </c>
      <c r="BF109" s="3"/>
      <c r="BG109" s="3">
        <f t="shared" si="3"/>
        <v>1034148</v>
      </c>
      <c r="BH109" s="3"/>
      <c r="BI109" s="3">
        <f>+'St of Net Assets'!AA108-BG109</f>
        <v>0</v>
      </c>
    </row>
    <row r="110" spans="1:62">
      <c r="A110" s="16" t="s">
        <v>373</v>
      </c>
      <c r="B110" s="16"/>
      <c r="C110" s="16" t="s">
        <v>172</v>
      </c>
      <c r="E110" s="16"/>
      <c r="G110" s="3">
        <v>453067</v>
      </c>
      <c r="H110" s="3"/>
      <c r="I110" s="3">
        <v>5486981</v>
      </c>
      <c r="J110" s="3"/>
      <c r="K110" s="3">
        <v>0</v>
      </c>
      <c r="L110" s="3"/>
      <c r="M110" s="3">
        <v>0</v>
      </c>
      <c r="N110" s="3"/>
      <c r="O110" s="3">
        <v>5078512</v>
      </c>
      <c r="P110" s="3"/>
      <c r="Q110" s="3">
        <v>7100196</v>
      </c>
      <c r="R110" s="3"/>
      <c r="S110" s="3">
        <v>92418</v>
      </c>
      <c r="T110" s="3"/>
      <c r="U110" s="3">
        <v>628942</v>
      </c>
      <c r="V110" s="3"/>
      <c r="W110" s="3">
        <v>369764</v>
      </c>
      <c r="X110" s="3"/>
      <c r="Y110" s="3">
        <v>189289</v>
      </c>
      <c r="Z110" s="3"/>
      <c r="AA110" s="3">
        <v>498598</v>
      </c>
      <c r="AB110" s="3"/>
      <c r="AC110" s="16" t="s">
        <v>373</v>
      </c>
      <c r="AD110" s="16"/>
      <c r="AE110" s="16" t="s">
        <v>172</v>
      </c>
      <c r="AF110" s="16"/>
      <c r="AG110" s="3">
        <v>0</v>
      </c>
      <c r="AH110" s="3"/>
      <c r="AI110" s="3">
        <v>64595</v>
      </c>
      <c r="AJ110" s="3"/>
      <c r="AK110" s="3">
        <v>0</v>
      </c>
      <c r="AL110" s="3"/>
      <c r="AM110" s="3">
        <v>0</v>
      </c>
      <c r="AN110" s="3"/>
      <c r="AO110" s="3">
        <v>204423</v>
      </c>
      <c r="AP110" s="3"/>
      <c r="AQ110" s="3">
        <v>5086</v>
      </c>
      <c r="AR110" s="3"/>
      <c r="AS110" s="3">
        <v>0</v>
      </c>
      <c r="AT110" s="3"/>
      <c r="AU110" s="3">
        <v>0</v>
      </c>
      <c r="AV110" s="3"/>
      <c r="AW110" s="3"/>
      <c r="AX110" s="3"/>
      <c r="AY110" s="3">
        <v>0</v>
      </c>
      <c r="AZ110" s="3"/>
      <c r="BA110" s="3">
        <f t="shared" si="2"/>
        <v>20171871</v>
      </c>
      <c r="BB110" s="3"/>
      <c r="BC110" s="3">
        <f>+'St of Act-Rev'!AG109-BA110</f>
        <v>394521</v>
      </c>
      <c r="BD110" s="3"/>
      <c r="BE110" s="3">
        <v>4023185</v>
      </c>
      <c r="BF110" s="3"/>
      <c r="BG110" s="3">
        <f t="shared" si="3"/>
        <v>4417706</v>
      </c>
      <c r="BH110" s="3"/>
      <c r="BI110" s="3">
        <f>+'St of Net Assets'!AA109-BG110</f>
        <v>0</v>
      </c>
    </row>
    <row r="111" spans="1:62">
      <c r="A111" s="16" t="s">
        <v>176</v>
      </c>
      <c r="B111" s="16"/>
      <c r="C111" s="3" t="s">
        <v>242</v>
      </c>
      <c r="E111" s="16">
        <v>124297</v>
      </c>
      <c r="G111" s="3">
        <v>954867</v>
      </c>
      <c r="H111" s="3"/>
      <c r="I111" s="3">
        <v>1374521</v>
      </c>
      <c r="J111" s="3"/>
      <c r="K111" s="3">
        <v>0</v>
      </c>
      <c r="L111" s="3"/>
      <c r="M111" s="3">
        <v>0</v>
      </c>
      <c r="N111" s="3"/>
      <c r="O111" s="3">
        <v>4681506</v>
      </c>
      <c r="P111" s="3"/>
      <c r="Q111" s="3">
        <v>7278181</v>
      </c>
      <c r="R111" s="3"/>
      <c r="S111" s="3">
        <v>91003</v>
      </c>
      <c r="T111" s="3"/>
      <c r="U111" s="3">
        <v>627934</v>
      </c>
      <c r="V111" s="3"/>
      <c r="W111" s="3">
        <v>417977</v>
      </c>
      <c r="X111" s="3"/>
      <c r="Y111" s="3">
        <v>74860</v>
      </c>
      <c r="Z111" s="3"/>
      <c r="AA111" s="3">
        <v>645252</v>
      </c>
      <c r="AB111" s="3"/>
      <c r="AC111" s="16" t="s">
        <v>176</v>
      </c>
      <c r="AD111" s="16"/>
      <c r="AE111" s="3" t="s">
        <v>242</v>
      </c>
      <c r="AF111" s="3"/>
      <c r="AG111" s="3">
        <v>178888</v>
      </c>
      <c r="AH111" s="3"/>
      <c r="AI111" s="3">
        <v>174325</v>
      </c>
      <c r="AJ111" s="3"/>
      <c r="AK111" s="3">
        <v>0</v>
      </c>
      <c r="AL111" s="3"/>
      <c r="AM111" s="3">
        <v>0</v>
      </c>
      <c r="AN111" s="3"/>
      <c r="AO111" s="3">
        <v>54436</v>
      </c>
      <c r="AP111" s="3"/>
      <c r="AQ111" s="3">
        <v>0</v>
      </c>
      <c r="AR111" s="3"/>
      <c r="AS111" s="3">
        <v>1108</v>
      </c>
      <c r="AT111" s="3"/>
      <c r="AU111" s="3">
        <v>0</v>
      </c>
      <c r="AV111" s="3"/>
      <c r="AW111" s="3"/>
      <c r="AX111" s="3"/>
      <c r="AY111" s="3">
        <v>4753792</v>
      </c>
      <c r="AZ111" s="3"/>
      <c r="BA111" s="3">
        <f t="shared" si="2"/>
        <v>21308650</v>
      </c>
      <c r="BB111" s="3"/>
      <c r="BC111" s="3">
        <f>+'St of Act-Rev'!AG110-BA111</f>
        <v>726948</v>
      </c>
      <c r="BD111" s="3"/>
      <c r="BE111" s="3">
        <v>6200642</v>
      </c>
      <c r="BF111" s="3"/>
      <c r="BG111" s="3">
        <f t="shared" si="3"/>
        <v>6927590</v>
      </c>
      <c r="BH111" s="3"/>
      <c r="BI111" s="3">
        <f>+'St of Net Assets'!AA110-BG111</f>
        <v>0</v>
      </c>
    </row>
    <row r="112" spans="1:62">
      <c r="A112" s="16" t="s">
        <v>313</v>
      </c>
      <c r="B112" s="16"/>
      <c r="C112" s="3" t="s">
        <v>320</v>
      </c>
      <c r="E112" s="16">
        <v>123521</v>
      </c>
      <c r="G112" s="3">
        <v>224746</v>
      </c>
      <c r="H112" s="3"/>
      <c r="I112" s="3">
        <f>2236619+211115</f>
        <v>2447734</v>
      </c>
      <c r="J112" s="3"/>
      <c r="K112" s="3">
        <v>0</v>
      </c>
      <c r="L112" s="3"/>
      <c r="M112" s="3">
        <f>42003+1830</f>
        <v>43833</v>
      </c>
      <c r="N112" s="3"/>
      <c r="O112" s="3">
        <v>1936879</v>
      </c>
      <c r="P112" s="3"/>
      <c r="Q112" s="3">
        <v>2507622</v>
      </c>
      <c r="R112" s="3"/>
      <c r="S112" s="3">
        <v>43159</v>
      </c>
      <c r="T112" s="3"/>
      <c r="U112" s="3">
        <v>878374</v>
      </c>
      <c r="V112" s="3"/>
      <c r="W112" s="3">
        <v>275666</v>
      </c>
      <c r="X112" s="3"/>
      <c r="Y112" s="3">
        <v>0</v>
      </c>
      <c r="Z112" s="3"/>
      <c r="AA112" s="3">
        <v>90624</v>
      </c>
      <c r="AB112" s="3"/>
      <c r="AC112" s="16" t="s">
        <v>313</v>
      </c>
      <c r="AD112" s="16"/>
      <c r="AE112" s="3" t="s">
        <v>320</v>
      </c>
      <c r="AF112" s="16"/>
      <c r="AG112" s="3">
        <v>12806</v>
      </c>
      <c r="AH112" s="3"/>
      <c r="AI112" s="3">
        <v>10833</v>
      </c>
      <c r="AJ112" s="3"/>
      <c r="AK112" s="3">
        <v>0</v>
      </c>
      <c r="AL112" s="3"/>
      <c r="AM112" s="3">
        <v>0</v>
      </c>
      <c r="AN112" s="3"/>
      <c r="AO112" s="3">
        <v>3649</v>
      </c>
      <c r="AP112" s="3"/>
      <c r="AQ112" s="3">
        <v>53711</v>
      </c>
      <c r="AR112" s="3"/>
      <c r="AS112" s="3">
        <v>16055</v>
      </c>
      <c r="AT112" s="3"/>
      <c r="AU112" s="3">
        <v>0</v>
      </c>
      <c r="AV112" s="3"/>
      <c r="AW112" s="3"/>
      <c r="AX112" s="3"/>
      <c r="AY112" s="3">
        <v>0</v>
      </c>
      <c r="AZ112" s="3"/>
      <c r="BA112" s="3">
        <f t="shared" si="2"/>
        <v>8545691</v>
      </c>
      <c r="BB112" s="3"/>
      <c r="BC112" s="3">
        <f>+'St of Act-Rev'!AG111-BA112</f>
        <v>-1857</v>
      </c>
      <c r="BD112" s="3"/>
      <c r="BE112" s="3">
        <v>1071567</v>
      </c>
      <c r="BF112" s="3"/>
      <c r="BG112" s="3">
        <f t="shared" si="3"/>
        <v>1069710</v>
      </c>
      <c r="BH112" s="3"/>
      <c r="BI112" s="3">
        <f>+'St of Net Assets'!AA111-BG112</f>
        <v>0</v>
      </c>
    </row>
    <row r="113" spans="1:62" s="24" customFormat="1">
      <c r="A113" s="16" t="s">
        <v>202</v>
      </c>
      <c r="B113" s="16"/>
      <c r="C113" s="16" t="s">
        <v>203</v>
      </c>
      <c r="E113" s="16">
        <v>125674</v>
      </c>
      <c r="G113" s="3">
        <v>836513</v>
      </c>
      <c r="H113" s="3"/>
      <c r="I113" s="3">
        <v>936957</v>
      </c>
      <c r="J113" s="3"/>
      <c r="K113" s="3">
        <v>0</v>
      </c>
      <c r="L113" s="3"/>
      <c r="M113" s="3">
        <f>32462+157309</f>
        <v>189771</v>
      </c>
      <c r="N113" s="3"/>
      <c r="O113" s="3">
        <v>1166278</v>
      </c>
      <c r="P113" s="3"/>
      <c r="Q113" s="3">
        <v>1868773</v>
      </c>
      <c r="R113" s="3"/>
      <c r="S113" s="3">
        <v>48752</v>
      </c>
      <c r="T113" s="3"/>
      <c r="U113" s="3">
        <v>506632</v>
      </c>
      <c r="V113" s="3"/>
      <c r="W113" s="3">
        <v>216630</v>
      </c>
      <c r="X113" s="3"/>
      <c r="Y113" s="3">
        <v>0</v>
      </c>
      <c r="Z113" s="3"/>
      <c r="AA113" s="3">
        <v>151339</v>
      </c>
      <c r="AB113" s="3"/>
      <c r="AC113" s="16" t="s">
        <v>202</v>
      </c>
      <c r="AD113" s="16"/>
      <c r="AE113" s="16" t="s">
        <v>203</v>
      </c>
      <c r="AF113" s="16"/>
      <c r="AG113" s="3">
        <v>25409</v>
      </c>
      <c r="AH113" s="3"/>
      <c r="AI113" s="3">
        <v>135443</v>
      </c>
      <c r="AJ113" s="3"/>
      <c r="AK113" s="3">
        <v>0</v>
      </c>
      <c r="AL113" s="3"/>
      <c r="AM113" s="3">
        <v>0</v>
      </c>
      <c r="AN113" s="3"/>
      <c r="AO113" s="3">
        <v>62876</v>
      </c>
      <c r="AP113" s="3"/>
      <c r="AQ113" s="3">
        <v>2398</v>
      </c>
      <c r="AR113" s="3"/>
      <c r="AS113" s="3">
        <v>3863</v>
      </c>
      <c r="AT113" s="3"/>
      <c r="AU113" s="3">
        <v>0</v>
      </c>
      <c r="AV113" s="3"/>
      <c r="AW113" s="3">
        <v>0</v>
      </c>
      <c r="AX113" s="3"/>
      <c r="AY113" s="3">
        <v>0</v>
      </c>
      <c r="AZ113" s="3"/>
      <c r="BA113" s="3">
        <f t="shared" si="2"/>
        <v>6151634</v>
      </c>
      <c r="BB113" s="3"/>
      <c r="BC113" s="3">
        <f>+'St of Act-Rev'!AG112-BA113</f>
        <v>232163</v>
      </c>
      <c r="BD113" s="3"/>
      <c r="BE113" s="3">
        <v>203158</v>
      </c>
      <c r="BF113" s="3"/>
      <c r="BG113" s="3">
        <f t="shared" si="3"/>
        <v>435321</v>
      </c>
      <c r="BH113" s="3"/>
      <c r="BI113" s="3">
        <f>+'St of Net Assets'!AA112-BG113</f>
        <v>0</v>
      </c>
      <c r="BJ113" s="27"/>
    </row>
    <row r="114" spans="1:62" s="24" customFormat="1">
      <c r="A114" s="16" t="s">
        <v>204</v>
      </c>
      <c r="B114" s="16"/>
      <c r="C114" s="16" t="s">
        <v>205</v>
      </c>
      <c r="E114" s="16">
        <v>49072</v>
      </c>
      <c r="G114" s="3">
        <v>163677</v>
      </c>
      <c r="H114" s="3"/>
      <c r="I114" s="3">
        <v>147799</v>
      </c>
      <c r="J114" s="3"/>
      <c r="K114" s="3">
        <v>0</v>
      </c>
      <c r="L114" s="3"/>
      <c r="M114" s="3">
        <f>50824+56964</f>
        <v>107788</v>
      </c>
      <c r="N114" s="3"/>
      <c r="O114" s="3">
        <v>1981328</v>
      </c>
      <c r="P114" s="3"/>
      <c r="Q114" s="3">
        <v>526656</v>
      </c>
      <c r="R114" s="3"/>
      <c r="S114" s="3">
        <v>50941</v>
      </c>
      <c r="T114" s="3"/>
      <c r="U114" s="3">
        <v>245650</v>
      </c>
      <c r="V114" s="3"/>
      <c r="W114" s="3">
        <v>141463</v>
      </c>
      <c r="X114" s="3"/>
      <c r="Y114" s="3">
        <v>23050</v>
      </c>
      <c r="Z114" s="3"/>
      <c r="AA114" s="3">
        <v>86167</v>
      </c>
      <c r="AB114" s="3"/>
      <c r="AC114" s="16" t="s">
        <v>204</v>
      </c>
      <c r="AD114" s="16"/>
      <c r="AE114" s="16" t="s">
        <v>205</v>
      </c>
      <c r="AF114" s="16"/>
      <c r="AG114" s="3">
        <v>100932</v>
      </c>
      <c r="AH114" s="3"/>
      <c r="AI114" s="3">
        <v>163958</v>
      </c>
      <c r="AJ114" s="3"/>
      <c r="AK114" s="3">
        <v>0</v>
      </c>
      <c r="AL114" s="3"/>
      <c r="AM114" s="3">
        <v>0</v>
      </c>
      <c r="AN114" s="3"/>
      <c r="AO114" s="3">
        <v>0</v>
      </c>
      <c r="AP114" s="3"/>
      <c r="AQ114" s="3">
        <v>0</v>
      </c>
      <c r="AR114" s="3"/>
      <c r="AS114" s="3">
        <v>0</v>
      </c>
      <c r="AT114" s="3"/>
      <c r="AU114" s="3">
        <v>0</v>
      </c>
      <c r="AV114" s="3"/>
      <c r="AW114" s="3">
        <v>0</v>
      </c>
      <c r="AX114" s="3"/>
      <c r="AY114" s="3">
        <v>0</v>
      </c>
      <c r="AZ114" s="3"/>
      <c r="BA114" s="3">
        <f t="shared" si="2"/>
        <v>3739409</v>
      </c>
      <c r="BB114" s="3"/>
      <c r="BC114" s="3">
        <f>+'St of Act-Rev'!AG113-BA114</f>
        <v>-192752</v>
      </c>
      <c r="BD114" s="3"/>
      <c r="BE114" s="3">
        <v>1149502</v>
      </c>
      <c r="BF114" s="3"/>
      <c r="BG114" s="3">
        <f t="shared" si="3"/>
        <v>956750</v>
      </c>
      <c r="BH114" s="3"/>
      <c r="BI114" s="3">
        <f>+'St of Net Assets'!AA113-BG114</f>
        <v>0</v>
      </c>
      <c r="BJ114" s="27"/>
    </row>
    <row r="115" spans="1:62" s="24" customFormat="1">
      <c r="A115" s="16" t="s">
        <v>206</v>
      </c>
      <c r="B115" s="16"/>
      <c r="C115" s="16" t="s">
        <v>207</v>
      </c>
      <c r="E115" s="16">
        <v>49163</v>
      </c>
      <c r="G115" s="3">
        <v>113231</v>
      </c>
      <c r="H115" s="3"/>
      <c r="I115" s="3">
        <v>3493224</v>
      </c>
      <c r="J115" s="3"/>
      <c r="K115" s="3">
        <v>0</v>
      </c>
      <c r="L115" s="3"/>
      <c r="M115" s="3">
        <v>0</v>
      </c>
      <c r="N115" s="3"/>
      <c r="O115" s="3">
        <v>1511622</v>
      </c>
      <c r="P115" s="3"/>
      <c r="Q115" s="3">
        <v>2414765</v>
      </c>
      <c r="R115" s="3"/>
      <c r="S115" s="3">
        <v>87199</v>
      </c>
      <c r="T115" s="3"/>
      <c r="U115" s="3">
        <v>628797</v>
      </c>
      <c r="V115" s="3"/>
      <c r="W115" s="3">
        <v>240113</v>
      </c>
      <c r="X115" s="3"/>
      <c r="Y115" s="3">
        <v>86109</v>
      </c>
      <c r="Z115" s="3"/>
      <c r="AA115" s="3">
        <v>59228</v>
      </c>
      <c r="AB115" s="3"/>
      <c r="AC115" s="16" t="s">
        <v>206</v>
      </c>
      <c r="AD115" s="16"/>
      <c r="AE115" s="16" t="s">
        <v>207</v>
      </c>
      <c r="AF115" s="16"/>
      <c r="AG115" s="3">
        <v>9909</v>
      </c>
      <c r="AH115" s="3"/>
      <c r="AI115" s="3">
        <v>212</v>
      </c>
      <c r="AJ115" s="3"/>
      <c r="AK115" s="3">
        <v>0</v>
      </c>
      <c r="AL115" s="3"/>
      <c r="AM115" s="3">
        <v>124942</v>
      </c>
      <c r="AN115" s="3"/>
      <c r="AO115" s="3">
        <v>0</v>
      </c>
      <c r="AP115" s="3"/>
      <c r="AQ115" s="3">
        <v>7914</v>
      </c>
      <c r="AR115" s="3"/>
      <c r="AS115" s="3">
        <v>776</v>
      </c>
      <c r="AT115" s="3"/>
      <c r="AU115" s="3">
        <v>0</v>
      </c>
      <c r="AV115" s="3"/>
      <c r="AW115" s="3">
        <v>0</v>
      </c>
      <c r="AX115" s="3"/>
      <c r="AY115" s="3">
        <v>0</v>
      </c>
      <c r="AZ115" s="3"/>
      <c r="BA115" s="3">
        <f t="shared" si="2"/>
        <v>8778041</v>
      </c>
      <c r="BB115" s="3"/>
      <c r="BC115" s="3">
        <f>+'St of Act-Rev'!AG114-BA115</f>
        <v>-119340</v>
      </c>
      <c r="BD115" s="3"/>
      <c r="BE115" s="3">
        <v>845559</v>
      </c>
      <c r="BF115" s="3"/>
      <c r="BG115" s="3">
        <f t="shared" si="3"/>
        <v>726219</v>
      </c>
      <c r="BH115" s="3"/>
      <c r="BI115" s="3">
        <f>+'St of Net Assets'!AA114-BG115</f>
        <v>0</v>
      </c>
      <c r="BJ115" s="27"/>
    </row>
    <row r="116" spans="1:62" s="24" customFormat="1" hidden="1">
      <c r="A116" s="16" t="s">
        <v>349</v>
      </c>
      <c r="B116" s="16"/>
      <c r="C116" s="16" t="s">
        <v>209</v>
      </c>
      <c r="E116" s="16">
        <v>49254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16" t="s">
        <v>208</v>
      </c>
      <c r="AD116" s="16"/>
      <c r="AE116" s="16" t="s">
        <v>209</v>
      </c>
      <c r="AF116" s="16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>
        <f t="shared" si="2"/>
        <v>0</v>
      </c>
      <c r="BB116" s="3"/>
      <c r="BC116" s="3">
        <f>+'St of Act-Rev'!AG115-BA116</f>
        <v>0</v>
      </c>
      <c r="BD116" s="3"/>
      <c r="BE116" s="3"/>
      <c r="BF116" s="3"/>
      <c r="BG116" s="3">
        <f t="shared" si="3"/>
        <v>0</v>
      </c>
      <c r="BH116" s="3"/>
      <c r="BI116" s="3">
        <f>+'St of Net Assets'!AA115-BG116</f>
        <v>0</v>
      </c>
      <c r="BJ116" s="27"/>
    </row>
    <row r="117" spans="1:62" s="24" customFormat="1">
      <c r="A117" s="16" t="s">
        <v>210</v>
      </c>
      <c r="B117" s="16"/>
      <c r="C117" s="16" t="s">
        <v>211</v>
      </c>
      <c r="E117" s="16">
        <v>49304</v>
      </c>
      <c r="G117" s="3">
        <v>396884</v>
      </c>
      <c r="H117" s="3"/>
      <c r="I117" s="3">
        <v>914721</v>
      </c>
      <c r="J117" s="3"/>
      <c r="K117" s="3">
        <v>0</v>
      </c>
      <c r="L117" s="3"/>
      <c r="M117" s="3">
        <f>23538+4248</f>
        <v>27786</v>
      </c>
      <c r="N117" s="3"/>
      <c r="O117" s="3">
        <v>974320</v>
      </c>
      <c r="P117" s="3"/>
      <c r="Q117" s="3">
        <v>1928506</v>
      </c>
      <c r="R117" s="3"/>
      <c r="S117" s="3">
        <v>25877</v>
      </c>
      <c r="T117" s="3"/>
      <c r="U117" s="3">
        <v>310272</v>
      </c>
      <c r="V117" s="3"/>
      <c r="W117" s="3">
        <v>247213</v>
      </c>
      <c r="X117" s="3"/>
      <c r="Y117" s="3">
        <v>10192</v>
      </c>
      <c r="Z117" s="3"/>
      <c r="AA117" s="3">
        <v>166849</v>
      </c>
      <c r="AB117" s="3"/>
      <c r="AC117" s="16" t="s">
        <v>210</v>
      </c>
      <c r="AD117" s="16"/>
      <c r="AE117" s="16" t="s">
        <v>211</v>
      </c>
      <c r="AF117" s="16"/>
      <c r="AG117" s="3">
        <v>95465</v>
      </c>
      <c r="AH117" s="3"/>
      <c r="AI117" s="3">
        <v>33304</v>
      </c>
      <c r="AJ117" s="3"/>
      <c r="AK117" s="3">
        <v>0</v>
      </c>
      <c r="AL117" s="3"/>
      <c r="AM117" s="3">
        <v>0</v>
      </c>
      <c r="AN117" s="3"/>
      <c r="AO117" s="3">
        <v>44246</v>
      </c>
      <c r="AP117" s="3"/>
      <c r="AQ117" s="3">
        <v>0</v>
      </c>
      <c r="AR117" s="3"/>
      <c r="AS117" s="3">
        <v>31437</v>
      </c>
      <c r="AT117" s="3"/>
      <c r="AU117" s="3">
        <v>0</v>
      </c>
      <c r="AV117" s="3"/>
      <c r="AW117" s="3">
        <v>0</v>
      </c>
      <c r="AX117" s="3"/>
      <c r="AY117" s="3">
        <v>951569</v>
      </c>
      <c r="AZ117" s="3"/>
      <c r="BA117" s="3">
        <f t="shared" si="2"/>
        <v>6158641</v>
      </c>
      <c r="BB117" s="3"/>
      <c r="BC117" s="3">
        <f>+'St of Act-Rev'!AG116-BA117</f>
        <v>-506534</v>
      </c>
      <c r="BD117" s="3"/>
      <c r="BE117" s="3">
        <v>4739137</v>
      </c>
      <c r="BF117" s="3"/>
      <c r="BG117" s="3">
        <f t="shared" si="3"/>
        <v>4232603</v>
      </c>
      <c r="BH117" s="3"/>
      <c r="BI117" s="3">
        <f>+'St of Net Assets'!AA116-BG117</f>
        <v>0</v>
      </c>
      <c r="BJ117" s="27"/>
    </row>
    <row r="118" spans="1:62">
      <c r="A118" s="16" t="s">
        <v>213</v>
      </c>
      <c r="B118" s="16"/>
      <c r="C118" s="16" t="s">
        <v>214</v>
      </c>
      <c r="E118" s="16">
        <v>138222</v>
      </c>
      <c r="G118" s="3">
        <v>5343</v>
      </c>
      <c r="H118" s="3"/>
      <c r="I118" s="3">
        <v>3602157</v>
      </c>
      <c r="J118" s="3"/>
      <c r="K118" s="3">
        <v>0</v>
      </c>
      <c r="L118" s="3"/>
      <c r="M118" s="3">
        <v>8215</v>
      </c>
      <c r="N118" s="3"/>
      <c r="O118" s="3">
        <v>1924933</v>
      </c>
      <c r="P118" s="3"/>
      <c r="Q118" s="3">
        <v>2752082</v>
      </c>
      <c r="R118" s="3"/>
      <c r="S118" s="3">
        <v>75137</v>
      </c>
      <c r="T118" s="3"/>
      <c r="U118" s="3">
        <v>830218</v>
      </c>
      <c r="V118" s="3"/>
      <c r="W118" s="3">
        <v>341350</v>
      </c>
      <c r="X118" s="3"/>
      <c r="Y118" s="3">
        <v>0</v>
      </c>
      <c r="Z118" s="3"/>
      <c r="AA118" s="3">
        <v>138858</v>
      </c>
      <c r="AB118" s="3"/>
      <c r="AC118" s="16" t="s">
        <v>213</v>
      </c>
      <c r="AD118" s="16"/>
      <c r="AE118" s="16" t="s">
        <v>214</v>
      </c>
      <c r="AF118" s="16"/>
      <c r="AG118" s="3">
        <v>0</v>
      </c>
      <c r="AH118" s="3"/>
      <c r="AI118" s="3">
        <v>58176</v>
      </c>
      <c r="AJ118" s="3"/>
      <c r="AK118" s="3">
        <v>0</v>
      </c>
      <c r="AL118" s="3"/>
      <c r="AM118" s="3">
        <v>0</v>
      </c>
      <c r="AN118" s="3"/>
      <c r="AO118" s="3">
        <v>38387</v>
      </c>
      <c r="AP118" s="3"/>
      <c r="AQ118" s="3">
        <v>201</v>
      </c>
      <c r="AR118" s="3"/>
      <c r="AS118" s="3">
        <v>0</v>
      </c>
      <c r="AT118" s="3"/>
      <c r="AU118" s="3">
        <v>0</v>
      </c>
      <c r="AV118" s="3"/>
      <c r="AW118" s="3">
        <v>0</v>
      </c>
      <c r="AX118" s="3"/>
      <c r="AY118" s="3">
        <v>0</v>
      </c>
      <c r="AZ118" s="3"/>
      <c r="BA118" s="3">
        <f t="shared" si="2"/>
        <v>9775057</v>
      </c>
      <c r="BB118" s="3"/>
      <c r="BC118" s="3">
        <f>+'St of Act-Rev'!AG117-BA118</f>
        <v>-492643</v>
      </c>
      <c r="BD118" s="3"/>
      <c r="BE118" s="3">
        <v>3372682</v>
      </c>
      <c r="BF118" s="3"/>
      <c r="BG118" s="3">
        <f t="shared" si="3"/>
        <v>2880039</v>
      </c>
      <c r="BH118" s="3"/>
      <c r="BI118" s="3">
        <f>+'St of Net Assets'!AA117-BG118</f>
        <v>0</v>
      </c>
    </row>
    <row r="119" spans="1:62" hidden="1">
      <c r="A119" s="3" t="s">
        <v>386</v>
      </c>
      <c r="B119" s="16"/>
      <c r="C119" s="16" t="s">
        <v>216</v>
      </c>
      <c r="E119" s="16">
        <v>49551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16" t="s">
        <v>215</v>
      </c>
      <c r="AD119" s="16"/>
      <c r="AE119" s="16" t="s">
        <v>216</v>
      </c>
      <c r="AF119" s="16"/>
      <c r="AG119" s="3"/>
      <c r="AH119" s="3"/>
      <c r="AI119" s="3"/>
      <c r="AJ119" s="3"/>
      <c r="AK119" s="3">
        <v>0</v>
      </c>
      <c r="AL119" s="3"/>
      <c r="AM119" s="3"/>
      <c r="AN119" s="3"/>
      <c r="AO119" s="3"/>
      <c r="AP119" s="3"/>
      <c r="AQ119" s="3"/>
      <c r="AR119" s="3"/>
      <c r="AS119" s="3"/>
      <c r="AT119" s="3"/>
      <c r="AU119" s="3">
        <v>0</v>
      </c>
      <c r="AV119" s="3"/>
      <c r="AW119" s="3">
        <v>0</v>
      </c>
      <c r="AX119" s="3"/>
      <c r="AY119" s="3"/>
      <c r="AZ119" s="3"/>
      <c r="BA119" s="3">
        <f t="shared" si="2"/>
        <v>0</v>
      </c>
      <c r="BB119" s="3"/>
      <c r="BC119" s="3">
        <f>+'St of Act-Rev'!AG118-BA119</f>
        <v>0</v>
      </c>
      <c r="BD119" s="3"/>
      <c r="BE119" s="3"/>
      <c r="BF119" s="3"/>
      <c r="BG119" s="3">
        <f t="shared" si="3"/>
        <v>0</v>
      </c>
      <c r="BH119" s="3"/>
      <c r="BI119" s="3">
        <f>+'St of Net Assets'!AA118-BG119</f>
        <v>0</v>
      </c>
    </row>
    <row r="120" spans="1:62" s="24" customFormat="1">
      <c r="A120" s="16" t="s">
        <v>219</v>
      </c>
      <c r="B120" s="16"/>
      <c r="C120" s="16" t="s">
        <v>220</v>
      </c>
      <c r="E120" s="16">
        <v>49742</v>
      </c>
      <c r="G120" s="3">
        <v>524083</v>
      </c>
      <c r="H120" s="3"/>
      <c r="I120" s="3">
        <v>1449322</v>
      </c>
      <c r="J120" s="3"/>
      <c r="K120" s="3">
        <v>0</v>
      </c>
      <c r="L120" s="3"/>
      <c r="M120" s="3">
        <v>0</v>
      </c>
      <c r="N120" s="3"/>
      <c r="O120" s="3">
        <v>1373151</v>
      </c>
      <c r="P120" s="3"/>
      <c r="Q120" s="3">
        <v>1251128</v>
      </c>
      <c r="R120" s="3"/>
      <c r="S120" s="3">
        <v>31513</v>
      </c>
      <c r="T120" s="3"/>
      <c r="U120" s="3">
        <v>418854</v>
      </c>
      <c r="V120" s="3"/>
      <c r="W120" s="3">
        <v>166421</v>
      </c>
      <c r="X120" s="3"/>
      <c r="Y120" s="3">
        <v>26140</v>
      </c>
      <c r="Z120" s="3"/>
      <c r="AA120" s="3">
        <v>329</v>
      </c>
      <c r="AB120" s="3"/>
      <c r="AC120" s="16" t="s">
        <v>219</v>
      </c>
      <c r="AD120" s="16"/>
      <c r="AE120" s="16" t="s">
        <v>220</v>
      </c>
      <c r="AF120" s="16"/>
      <c r="AG120" s="3">
        <v>569</v>
      </c>
      <c r="AH120" s="3"/>
      <c r="AI120" s="3">
        <v>152984</v>
      </c>
      <c r="AJ120" s="3"/>
      <c r="AK120" s="3">
        <v>0</v>
      </c>
      <c r="AL120" s="3"/>
      <c r="AM120" s="3">
        <v>0</v>
      </c>
      <c r="AN120" s="3"/>
      <c r="AO120" s="3">
        <v>0</v>
      </c>
      <c r="AP120" s="3"/>
      <c r="AQ120" s="3">
        <v>0</v>
      </c>
      <c r="AR120" s="3"/>
      <c r="AS120" s="3">
        <v>1952</v>
      </c>
      <c r="AT120" s="3"/>
      <c r="AU120" s="3">
        <v>0</v>
      </c>
      <c r="AV120" s="3"/>
      <c r="AW120" s="3">
        <v>0</v>
      </c>
      <c r="AX120" s="3"/>
      <c r="AY120" s="3">
        <v>0</v>
      </c>
      <c r="AZ120" s="3"/>
      <c r="BA120" s="3">
        <f t="shared" si="2"/>
        <v>5396446</v>
      </c>
      <c r="BB120" s="3"/>
      <c r="BC120" s="3">
        <f>+'St of Act-Rev'!AG119-BA120</f>
        <v>8468</v>
      </c>
      <c r="BD120" s="3"/>
      <c r="BE120" s="3">
        <v>628235</v>
      </c>
      <c r="BF120" s="3"/>
      <c r="BG120" s="3">
        <f t="shared" si="3"/>
        <v>636703</v>
      </c>
      <c r="BH120" s="3"/>
      <c r="BI120" s="3">
        <f>+'St of Net Assets'!AA119-BG120</f>
        <v>0</v>
      </c>
      <c r="BJ120" s="27"/>
    </row>
    <row r="121" spans="1:62" s="24" customFormat="1">
      <c r="A121" s="16" t="s">
        <v>324</v>
      </c>
      <c r="B121" s="16"/>
      <c r="C121" s="16" t="s">
        <v>217</v>
      </c>
      <c r="E121" s="16">
        <v>125658</v>
      </c>
      <c r="G121" s="3">
        <v>550342</v>
      </c>
      <c r="H121" s="3"/>
      <c r="I121" s="3">
        <v>3633645</v>
      </c>
      <c r="J121" s="3"/>
      <c r="K121" s="3">
        <v>0</v>
      </c>
      <c r="L121" s="3"/>
      <c r="M121" s="3">
        <v>197756</v>
      </c>
      <c r="N121" s="3"/>
      <c r="O121" s="3">
        <v>1860958</v>
      </c>
      <c r="P121" s="3"/>
      <c r="Q121" s="3">
        <v>1183141</v>
      </c>
      <c r="R121" s="3"/>
      <c r="S121" s="3">
        <v>26786</v>
      </c>
      <c r="T121" s="3"/>
      <c r="U121" s="3">
        <v>690291</v>
      </c>
      <c r="V121" s="3"/>
      <c r="W121" s="3">
        <v>243119</v>
      </c>
      <c r="X121" s="3"/>
      <c r="Y121" s="3">
        <v>0</v>
      </c>
      <c r="Z121" s="3"/>
      <c r="AA121" s="3">
        <v>129476</v>
      </c>
      <c r="AB121" s="3"/>
      <c r="AC121" s="16" t="s">
        <v>324</v>
      </c>
      <c r="AD121" s="16"/>
      <c r="AE121" s="16" t="s">
        <v>217</v>
      </c>
      <c r="AF121" s="16"/>
      <c r="AG121" s="3">
        <v>17950</v>
      </c>
      <c r="AH121" s="3"/>
      <c r="AI121" s="3">
        <v>196553</v>
      </c>
      <c r="AJ121" s="3"/>
      <c r="AK121" s="3">
        <v>0</v>
      </c>
      <c r="AL121" s="3"/>
      <c r="AM121" s="3">
        <v>0</v>
      </c>
      <c r="AN121" s="3"/>
      <c r="AO121" s="3">
        <v>0</v>
      </c>
      <c r="AP121" s="3"/>
      <c r="AQ121" s="3">
        <v>0</v>
      </c>
      <c r="AR121" s="3"/>
      <c r="AS121" s="3">
        <v>5596</v>
      </c>
      <c r="AT121" s="3"/>
      <c r="AU121" s="3">
        <v>0</v>
      </c>
      <c r="AV121" s="3"/>
      <c r="AW121" s="3">
        <v>0</v>
      </c>
      <c r="AX121" s="3"/>
      <c r="AY121" s="3">
        <v>0</v>
      </c>
      <c r="AZ121" s="3"/>
      <c r="BA121" s="3">
        <f t="shared" si="2"/>
        <v>8735613</v>
      </c>
      <c r="BB121" s="3"/>
      <c r="BC121" s="3">
        <f>+'St of Act-Rev'!AG120-BA121</f>
        <v>-38707</v>
      </c>
      <c r="BD121" s="3"/>
      <c r="BE121" s="3">
        <v>674891</v>
      </c>
      <c r="BF121" s="3"/>
      <c r="BG121" s="3">
        <f t="shared" si="3"/>
        <v>636184</v>
      </c>
      <c r="BH121" s="3"/>
      <c r="BI121" s="3">
        <f>+'St of Net Assets'!AA120-BG121</f>
        <v>0</v>
      </c>
      <c r="BJ121" s="27"/>
    </row>
    <row r="122" spans="1:62" s="24" customFormat="1">
      <c r="A122" s="3" t="s">
        <v>323</v>
      </c>
      <c r="B122" s="3"/>
      <c r="C122" s="3" t="s">
        <v>164</v>
      </c>
      <c r="E122" s="16"/>
      <c r="G122" s="3">
        <v>512909</v>
      </c>
      <c r="H122" s="3"/>
      <c r="I122" s="3">
        <v>563117</v>
      </c>
      <c r="J122" s="3"/>
      <c r="K122" s="3">
        <v>0</v>
      </c>
      <c r="L122" s="3"/>
      <c r="M122" s="3">
        <v>0</v>
      </c>
      <c r="N122" s="3"/>
      <c r="O122" s="3">
        <v>380391</v>
      </c>
      <c r="P122" s="3"/>
      <c r="Q122" s="3">
        <v>1310258</v>
      </c>
      <c r="R122" s="3"/>
      <c r="S122" s="3">
        <v>30853</v>
      </c>
      <c r="T122" s="3"/>
      <c r="U122" s="3">
        <v>611104</v>
      </c>
      <c r="V122" s="3"/>
      <c r="W122" s="3">
        <v>234790</v>
      </c>
      <c r="X122" s="3"/>
      <c r="Y122" s="3">
        <v>0</v>
      </c>
      <c r="Z122" s="3"/>
      <c r="AA122" s="3">
        <v>51349</v>
      </c>
      <c r="AB122" s="3"/>
      <c r="AC122" s="3" t="s">
        <v>323</v>
      </c>
      <c r="AD122" s="3"/>
      <c r="AE122" s="3" t="s">
        <v>164</v>
      </c>
      <c r="AF122" s="3"/>
      <c r="AG122" s="3">
        <v>0</v>
      </c>
      <c r="AH122" s="3"/>
      <c r="AI122" s="3">
        <v>306641</v>
      </c>
      <c r="AJ122" s="3"/>
      <c r="AK122" s="3">
        <v>0</v>
      </c>
      <c r="AL122" s="3"/>
      <c r="AM122" s="3">
        <v>0</v>
      </c>
      <c r="AN122" s="3"/>
      <c r="AO122" s="3">
        <v>0</v>
      </c>
      <c r="AP122" s="3"/>
      <c r="AQ122" s="3">
        <v>0</v>
      </c>
      <c r="AR122" s="3"/>
      <c r="AS122" s="3">
        <v>0</v>
      </c>
      <c r="AT122" s="3"/>
      <c r="AU122" s="3">
        <v>0</v>
      </c>
      <c r="AV122" s="3"/>
      <c r="AW122" s="3">
        <v>0</v>
      </c>
      <c r="AX122" s="3"/>
      <c r="AY122" s="3">
        <v>0</v>
      </c>
      <c r="AZ122" s="3"/>
      <c r="BA122" s="3">
        <f>SUM(G122:AZ122)</f>
        <v>4001412</v>
      </c>
      <c r="BB122" s="3"/>
      <c r="BC122" s="3">
        <f>+'St of Act-Rev'!AG121-BA122</f>
        <v>-162787</v>
      </c>
      <c r="BD122" s="3"/>
      <c r="BE122" s="3">
        <v>2963343</v>
      </c>
      <c r="BF122" s="3"/>
      <c r="BG122" s="3">
        <f>+BC122+BE122</f>
        <v>2800556</v>
      </c>
      <c r="BH122" s="3"/>
      <c r="BI122" s="3">
        <f>+'St of Net Assets'!AA121-BG122</f>
        <v>0</v>
      </c>
      <c r="BJ122" s="27"/>
    </row>
    <row r="123" spans="1:62" s="24" customFormat="1">
      <c r="A123" s="16" t="s">
        <v>355</v>
      </c>
      <c r="B123" s="16"/>
      <c r="C123" s="16" t="s">
        <v>221</v>
      </c>
      <c r="E123" s="16">
        <v>49825</v>
      </c>
      <c r="G123" s="3">
        <v>108487</v>
      </c>
      <c r="H123" s="3"/>
      <c r="I123" s="3">
        <v>4800594</v>
      </c>
      <c r="J123" s="3"/>
      <c r="K123" s="3">
        <v>0</v>
      </c>
      <c r="L123" s="3"/>
      <c r="M123" s="3">
        <v>1732</v>
      </c>
      <c r="N123" s="3"/>
      <c r="O123" s="3">
        <v>3254249</v>
      </c>
      <c r="P123" s="3"/>
      <c r="Q123" s="3">
        <v>6614598</v>
      </c>
      <c r="R123" s="3"/>
      <c r="S123" s="3">
        <v>25506</v>
      </c>
      <c r="T123" s="3"/>
      <c r="U123" s="3">
        <v>3140963</v>
      </c>
      <c r="V123" s="3"/>
      <c r="W123" s="3">
        <v>414737</v>
      </c>
      <c r="X123" s="3"/>
      <c r="Y123" s="3">
        <v>747476</v>
      </c>
      <c r="Z123" s="3"/>
      <c r="AA123" s="3">
        <v>357966</v>
      </c>
      <c r="AB123" s="3"/>
      <c r="AC123" s="16" t="s">
        <v>355</v>
      </c>
      <c r="AD123" s="16"/>
      <c r="AE123" s="16" t="s">
        <v>221</v>
      </c>
      <c r="AF123" s="16"/>
      <c r="AG123" s="3">
        <v>396684</v>
      </c>
      <c r="AH123" s="3"/>
      <c r="AI123" s="3">
        <v>53871</v>
      </c>
      <c r="AJ123" s="3"/>
      <c r="AK123" s="3">
        <v>0</v>
      </c>
      <c r="AL123" s="3"/>
      <c r="AM123" s="3">
        <v>41658</v>
      </c>
      <c r="AN123" s="3"/>
      <c r="AO123" s="3">
        <v>0</v>
      </c>
      <c r="AP123" s="3"/>
      <c r="AQ123" s="3">
        <v>502</v>
      </c>
      <c r="AR123" s="3"/>
      <c r="AS123" s="3">
        <v>0</v>
      </c>
      <c r="AT123" s="3"/>
      <c r="AU123" s="3">
        <v>0</v>
      </c>
      <c r="AV123" s="3"/>
      <c r="AW123" s="3">
        <v>0</v>
      </c>
      <c r="AX123" s="3"/>
      <c r="AY123" s="3">
        <v>0</v>
      </c>
      <c r="AZ123" s="3"/>
      <c r="BA123" s="3">
        <f t="shared" si="2"/>
        <v>19959023</v>
      </c>
      <c r="BB123" s="3"/>
      <c r="BC123" s="3">
        <f>+'St of Act-Rev'!AG122-BA123</f>
        <v>334211</v>
      </c>
      <c r="BD123" s="3"/>
      <c r="BE123" s="3">
        <v>2354022</v>
      </c>
      <c r="BF123" s="3"/>
      <c r="BG123" s="3">
        <f t="shared" si="3"/>
        <v>2688233</v>
      </c>
      <c r="BH123" s="3"/>
      <c r="BI123" s="3">
        <f>+'St of Net Assets'!AA122-BG123</f>
        <v>0</v>
      </c>
      <c r="BJ123" s="27"/>
    </row>
    <row r="124" spans="1:62" s="24" customFormat="1">
      <c r="A124" s="16" t="s">
        <v>222</v>
      </c>
      <c r="B124" s="16"/>
      <c r="C124" s="16" t="s">
        <v>223</v>
      </c>
      <c r="E124" s="16">
        <v>49965</v>
      </c>
      <c r="G124" s="3">
        <v>913601</v>
      </c>
      <c r="H124" s="3"/>
      <c r="I124" s="3">
        <v>3812318</v>
      </c>
      <c r="J124" s="3"/>
      <c r="K124" s="3">
        <v>69889</v>
      </c>
      <c r="L124" s="3"/>
      <c r="M124" s="3">
        <v>0</v>
      </c>
      <c r="N124" s="3"/>
      <c r="O124" s="3">
        <v>2993203</v>
      </c>
      <c r="P124" s="3"/>
      <c r="Q124" s="3">
        <v>4187584</v>
      </c>
      <c r="R124" s="3"/>
      <c r="S124" s="3">
        <v>87926</v>
      </c>
      <c r="T124" s="3"/>
      <c r="U124" s="3">
        <v>810933</v>
      </c>
      <c r="V124" s="3"/>
      <c r="W124" s="3">
        <v>457431</v>
      </c>
      <c r="X124" s="3"/>
      <c r="Y124" s="3">
        <v>32585</v>
      </c>
      <c r="Z124" s="3"/>
      <c r="AA124" s="3">
        <v>395811</v>
      </c>
      <c r="AB124" s="3"/>
      <c r="AC124" s="16" t="s">
        <v>222</v>
      </c>
      <c r="AD124" s="16"/>
      <c r="AE124" s="16" t="s">
        <v>223</v>
      </c>
      <c r="AF124" s="16"/>
      <c r="AG124" s="3">
        <v>0</v>
      </c>
      <c r="AH124" s="3"/>
      <c r="AI124" s="3">
        <v>210520</v>
      </c>
      <c r="AJ124" s="3"/>
      <c r="AK124" s="3">
        <v>0</v>
      </c>
      <c r="AL124" s="3"/>
      <c r="AM124" s="3">
        <v>0</v>
      </c>
      <c r="AN124" s="3"/>
      <c r="AO124" s="3">
        <v>13000</v>
      </c>
      <c r="AP124" s="3"/>
      <c r="AQ124" s="3">
        <v>21865</v>
      </c>
      <c r="AR124" s="3"/>
      <c r="AS124" s="3">
        <v>46230</v>
      </c>
      <c r="AT124" s="3"/>
      <c r="AU124" s="3">
        <v>0</v>
      </c>
      <c r="AV124" s="3"/>
      <c r="AW124" s="3">
        <v>0</v>
      </c>
      <c r="AX124" s="3"/>
      <c r="AY124" s="3">
        <v>0</v>
      </c>
      <c r="AZ124" s="3"/>
      <c r="BA124" s="3">
        <f t="shared" si="2"/>
        <v>14052896</v>
      </c>
      <c r="BB124" s="3"/>
      <c r="BC124" s="3">
        <f>+'St of Act-Rev'!AG123-BA124</f>
        <v>462979</v>
      </c>
      <c r="BD124" s="3"/>
      <c r="BE124" s="3">
        <v>7941372</v>
      </c>
      <c r="BF124" s="3"/>
      <c r="BG124" s="3">
        <f t="shared" si="3"/>
        <v>8404351</v>
      </c>
      <c r="BH124" s="3"/>
      <c r="BI124" s="3">
        <f>+'St of Net Assets'!AA123-BG124</f>
        <v>0</v>
      </c>
      <c r="BJ124" s="27"/>
    </row>
    <row r="125" spans="1:62" s="24" customFormat="1">
      <c r="A125" s="16" t="s">
        <v>233</v>
      </c>
      <c r="B125" s="16"/>
      <c r="C125" s="16" t="s">
        <v>234</v>
      </c>
      <c r="E125" s="16">
        <v>50526</v>
      </c>
      <c r="G125" s="3">
        <v>901128</v>
      </c>
      <c r="H125" s="3"/>
      <c r="I125" s="3">
        <v>1584514</v>
      </c>
      <c r="J125" s="3"/>
      <c r="K125" s="3">
        <v>0</v>
      </c>
      <c r="L125" s="3"/>
      <c r="M125" s="3">
        <v>60375</v>
      </c>
      <c r="N125" s="3"/>
      <c r="O125" s="3">
        <v>2598182</v>
      </c>
      <c r="P125" s="3"/>
      <c r="Q125" s="3">
        <v>3312825</v>
      </c>
      <c r="R125" s="3"/>
      <c r="S125" s="3">
        <v>51385</v>
      </c>
      <c r="T125" s="3"/>
      <c r="U125" s="3">
        <v>500875</v>
      </c>
      <c r="V125" s="3"/>
      <c r="W125" s="3">
        <v>316097</v>
      </c>
      <c r="X125" s="3"/>
      <c r="Y125" s="3">
        <v>166290</v>
      </c>
      <c r="Z125" s="3"/>
      <c r="AA125" s="3">
        <v>207579</v>
      </c>
      <c r="AB125" s="3"/>
      <c r="AC125" s="16" t="s">
        <v>233</v>
      </c>
      <c r="AD125" s="16"/>
      <c r="AE125" s="16" t="s">
        <v>234</v>
      </c>
      <c r="AF125" s="16"/>
      <c r="AG125" s="3">
        <v>30879</v>
      </c>
      <c r="AH125" s="3"/>
      <c r="AI125" s="3">
        <v>1498791</v>
      </c>
      <c r="AJ125" s="3"/>
      <c r="AK125" s="3">
        <v>0</v>
      </c>
      <c r="AL125" s="3"/>
      <c r="AM125" s="3">
        <v>0</v>
      </c>
      <c r="AN125" s="3"/>
      <c r="AO125" s="3">
        <v>3433115</v>
      </c>
      <c r="AP125" s="3"/>
      <c r="AQ125" s="3">
        <v>0</v>
      </c>
      <c r="AR125" s="3"/>
      <c r="AS125" s="3">
        <v>0</v>
      </c>
      <c r="AT125" s="3"/>
      <c r="AU125" s="3">
        <v>0</v>
      </c>
      <c r="AV125" s="3"/>
      <c r="AW125" s="3">
        <v>0</v>
      </c>
      <c r="AX125" s="3"/>
      <c r="AY125" s="3">
        <v>0</v>
      </c>
      <c r="AZ125" s="3"/>
      <c r="BA125" s="3">
        <f t="shared" si="2"/>
        <v>14662035</v>
      </c>
      <c r="BB125" s="3"/>
      <c r="BC125" s="3">
        <f>+'St of Act-Rev'!AG124-BA125</f>
        <v>-86206</v>
      </c>
      <c r="BD125" s="3"/>
      <c r="BE125" s="3">
        <v>3394513</v>
      </c>
      <c r="BF125" s="3"/>
      <c r="BG125" s="3">
        <f t="shared" si="3"/>
        <v>3308307</v>
      </c>
      <c r="BH125" s="3"/>
      <c r="BI125" s="3">
        <f>+'St of Net Assets'!AA124-BG125</f>
        <v>0</v>
      </c>
      <c r="BJ125" s="27"/>
    </row>
    <row r="126" spans="1:62" s="24" customFormat="1">
      <c r="A126" s="16" t="s">
        <v>224</v>
      </c>
      <c r="B126" s="16"/>
      <c r="C126" s="16" t="s">
        <v>225</v>
      </c>
      <c r="E126" s="16">
        <v>50088</v>
      </c>
      <c r="G126" s="3">
        <v>657638</v>
      </c>
      <c r="H126" s="3"/>
      <c r="I126" s="3">
        <v>6135759</v>
      </c>
      <c r="J126" s="3"/>
      <c r="K126" s="3">
        <v>0</v>
      </c>
      <c r="L126" s="3"/>
      <c r="M126" s="3">
        <v>0</v>
      </c>
      <c r="N126" s="3"/>
      <c r="O126" s="3">
        <v>4257991</v>
      </c>
      <c r="P126" s="3"/>
      <c r="Q126" s="3">
        <v>1976747</v>
      </c>
      <c r="R126" s="3"/>
      <c r="S126" s="3">
        <v>104443</v>
      </c>
      <c r="T126" s="3"/>
      <c r="U126" s="3">
        <v>2663556</v>
      </c>
      <c r="V126" s="3"/>
      <c r="W126" s="3">
        <v>308310</v>
      </c>
      <c r="X126" s="3"/>
      <c r="Y126" s="3">
        <v>44919</v>
      </c>
      <c r="Z126" s="3"/>
      <c r="AA126" s="3">
        <v>203901</v>
      </c>
      <c r="AB126" s="3"/>
      <c r="AC126" s="16" t="s">
        <v>224</v>
      </c>
      <c r="AD126" s="16"/>
      <c r="AE126" s="16" t="s">
        <v>225</v>
      </c>
      <c r="AF126" s="16"/>
      <c r="AG126" s="3">
        <v>27738</v>
      </c>
      <c r="AH126" s="3"/>
      <c r="AI126" s="3">
        <v>3040</v>
      </c>
      <c r="AJ126" s="3"/>
      <c r="AK126" s="3">
        <v>0</v>
      </c>
      <c r="AL126" s="3"/>
      <c r="AM126" s="3">
        <v>0</v>
      </c>
      <c r="AN126" s="3"/>
      <c r="AO126" s="3">
        <v>0</v>
      </c>
      <c r="AP126" s="3"/>
      <c r="AQ126" s="3">
        <v>0</v>
      </c>
      <c r="AR126" s="3"/>
      <c r="AS126" s="3">
        <v>0</v>
      </c>
      <c r="AT126" s="3"/>
      <c r="AU126" s="3">
        <v>0</v>
      </c>
      <c r="AV126" s="3"/>
      <c r="AW126" s="3">
        <v>0</v>
      </c>
      <c r="AX126" s="3"/>
      <c r="AY126" s="3">
        <v>0</v>
      </c>
      <c r="AZ126" s="3"/>
      <c r="BA126" s="3">
        <f t="shared" si="2"/>
        <v>16384042</v>
      </c>
      <c r="BB126" s="3"/>
      <c r="BC126" s="3">
        <f>+'St of Act-Rev'!AG125-BA126</f>
        <v>-10302</v>
      </c>
      <c r="BD126" s="3"/>
      <c r="BE126" s="3">
        <v>5072281</v>
      </c>
      <c r="BF126" s="3"/>
      <c r="BG126" s="3">
        <f t="shared" si="3"/>
        <v>5061979</v>
      </c>
      <c r="BH126" s="3"/>
      <c r="BI126" s="3">
        <f>+'St of Net Assets'!AA125-BG126</f>
        <v>0</v>
      </c>
      <c r="BJ126" s="27"/>
    </row>
    <row r="127" spans="1:62" s="24" customFormat="1" hidden="1">
      <c r="A127" s="3" t="s">
        <v>385</v>
      </c>
      <c r="B127" s="16"/>
      <c r="C127" s="16" t="s">
        <v>227</v>
      </c>
      <c r="E127" s="16">
        <v>50260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16" t="s">
        <v>226</v>
      </c>
      <c r="AD127" s="16"/>
      <c r="AE127" s="16" t="s">
        <v>227</v>
      </c>
      <c r="AF127" s="16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>
        <f t="shared" si="2"/>
        <v>0</v>
      </c>
      <c r="BB127" s="3"/>
      <c r="BC127" s="3">
        <f>+'St of Act-Rev'!AG126-BA127</f>
        <v>0</v>
      </c>
      <c r="BD127" s="3"/>
      <c r="BE127" s="3"/>
      <c r="BF127" s="3"/>
      <c r="BG127" s="3">
        <f t="shared" si="3"/>
        <v>0</v>
      </c>
      <c r="BH127" s="3"/>
      <c r="BI127" s="3">
        <f>+'St of Net Assets'!AA126-BG127</f>
        <v>0</v>
      </c>
      <c r="BJ127" s="27"/>
    </row>
    <row r="128" spans="1:62" s="24" customFormat="1" hidden="1">
      <c r="A128" s="16" t="s">
        <v>352</v>
      </c>
      <c r="B128" s="16"/>
      <c r="C128" s="16" t="s">
        <v>231</v>
      </c>
      <c r="E128" s="16">
        <v>50401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16" t="s">
        <v>230</v>
      </c>
      <c r="AD128" s="16"/>
      <c r="AE128" s="16" t="s">
        <v>231</v>
      </c>
      <c r="AF128" s="16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>
        <f t="shared" si="2"/>
        <v>0</v>
      </c>
      <c r="BB128" s="3"/>
      <c r="BC128" s="3">
        <f>+'St of Act-Rev'!AG127-BA128</f>
        <v>0</v>
      </c>
      <c r="BD128" s="3"/>
      <c r="BE128" s="3"/>
      <c r="BF128" s="3"/>
      <c r="BG128" s="3">
        <f t="shared" si="3"/>
        <v>0</v>
      </c>
      <c r="BH128" s="3"/>
      <c r="BI128" s="3">
        <f>+'St of Net Assets'!AA127-BG128</f>
        <v>0</v>
      </c>
      <c r="BJ128" s="27"/>
    </row>
    <row r="129" spans="1:62" s="24" customFormat="1" hidden="1">
      <c r="A129" s="3" t="s">
        <v>387</v>
      </c>
      <c r="B129" s="16"/>
      <c r="C129" s="16" t="s">
        <v>232</v>
      </c>
      <c r="E129" s="16">
        <v>50476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3"/>
      <c r="BA129" s="3">
        <f t="shared" si="2"/>
        <v>0</v>
      </c>
      <c r="BB129" s="3"/>
      <c r="BC129" s="3">
        <f>+'St of Act-Rev'!AG128-BA129</f>
        <v>0</v>
      </c>
      <c r="BD129" s="3"/>
      <c r="BE129" s="3"/>
      <c r="BF129" s="3"/>
      <c r="BG129" s="3">
        <f t="shared" si="3"/>
        <v>0</v>
      </c>
      <c r="BH129" s="3"/>
      <c r="BI129" s="3">
        <f>+'St of Net Assets'!AA128-BG129</f>
        <v>0</v>
      </c>
      <c r="BJ129" s="27"/>
    </row>
    <row r="130" spans="1:62" s="24" customFormat="1">
      <c r="A130" s="16" t="s">
        <v>228</v>
      </c>
      <c r="B130" s="16"/>
      <c r="C130" s="16" t="s">
        <v>317</v>
      </c>
      <c r="E130" s="16">
        <v>134999</v>
      </c>
      <c r="G130" s="3">
        <v>843818</v>
      </c>
      <c r="H130" s="3"/>
      <c r="I130" s="3">
        <v>1833196</v>
      </c>
      <c r="J130" s="3"/>
      <c r="K130" s="3">
        <v>0</v>
      </c>
      <c r="L130" s="3"/>
      <c r="M130" s="3">
        <v>0</v>
      </c>
      <c r="N130" s="3"/>
      <c r="O130" s="3">
        <v>1144823</v>
      </c>
      <c r="P130" s="3"/>
      <c r="Q130" s="3">
        <v>818657</v>
      </c>
      <c r="R130" s="3"/>
      <c r="S130" s="3">
        <v>53535</v>
      </c>
      <c r="T130" s="3"/>
      <c r="U130" s="3">
        <v>435585</v>
      </c>
      <c r="V130" s="3"/>
      <c r="W130" s="3">
        <v>122217</v>
      </c>
      <c r="X130" s="3"/>
      <c r="Y130" s="3">
        <v>0</v>
      </c>
      <c r="Z130" s="3"/>
      <c r="AA130" s="3">
        <v>11160</v>
      </c>
      <c r="AB130" s="3"/>
      <c r="AC130" s="16" t="s">
        <v>228</v>
      </c>
      <c r="AD130" s="16"/>
      <c r="AE130" s="16" t="s">
        <v>317</v>
      </c>
      <c r="AF130" s="16"/>
      <c r="AG130" s="3">
        <v>0</v>
      </c>
      <c r="AH130" s="3"/>
      <c r="AI130" s="3">
        <v>56043</v>
      </c>
      <c r="AJ130" s="3"/>
      <c r="AK130" s="3">
        <v>0</v>
      </c>
      <c r="AL130" s="3"/>
      <c r="AM130" s="3">
        <v>0</v>
      </c>
      <c r="AN130" s="3"/>
      <c r="AO130" s="3">
        <v>75</v>
      </c>
      <c r="AP130" s="3"/>
      <c r="AQ130" s="3">
        <v>0</v>
      </c>
      <c r="AR130" s="3"/>
      <c r="AS130" s="3">
        <v>0</v>
      </c>
      <c r="AT130" s="3"/>
      <c r="AU130" s="3">
        <v>0</v>
      </c>
      <c r="AV130" s="3"/>
      <c r="AW130" s="3">
        <v>0</v>
      </c>
      <c r="AX130" s="3"/>
      <c r="AY130" s="3">
        <v>416302</v>
      </c>
      <c r="AZ130" s="3"/>
      <c r="BA130" s="3">
        <f>SUM(G130:AZ130)</f>
        <v>5735411</v>
      </c>
      <c r="BB130" s="3"/>
      <c r="BC130" s="3">
        <f>+'St of Act-Rev'!AG129-BA130</f>
        <v>-120476</v>
      </c>
      <c r="BD130" s="3"/>
      <c r="BE130" s="3">
        <v>535394</v>
      </c>
      <c r="BF130" s="3"/>
      <c r="BG130" s="3">
        <f t="shared" si="3"/>
        <v>414918</v>
      </c>
      <c r="BH130" s="3"/>
      <c r="BI130" s="3">
        <f>+'St of Net Assets'!AA129-BG130</f>
        <v>0</v>
      </c>
      <c r="BJ130" s="27"/>
    </row>
    <row r="131" spans="1:62" s="24" customFormat="1">
      <c r="A131" s="16" t="s">
        <v>235</v>
      </c>
      <c r="B131" s="16"/>
      <c r="C131" s="16" t="s">
        <v>236</v>
      </c>
      <c r="E131" s="16">
        <v>50666</v>
      </c>
      <c r="G131" s="3">
        <v>1670726</v>
      </c>
      <c r="H131" s="3"/>
      <c r="I131" s="3">
        <v>5469451</v>
      </c>
      <c r="J131" s="3"/>
      <c r="K131" s="3">
        <v>212706</v>
      </c>
      <c r="L131" s="3"/>
      <c r="M131" s="3">
        <v>12488</v>
      </c>
      <c r="N131" s="3"/>
      <c r="O131" s="3">
        <v>3211910</v>
      </c>
      <c r="P131" s="3"/>
      <c r="Q131" s="3">
        <v>3860190</v>
      </c>
      <c r="R131" s="3"/>
      <c r="S131" s="3">
        <v>42138</v>
      </c>
      <c r="T131" s="3"/>
      <c r="U131" s="3">
        <v>1523302</v>
      </c>
      <c r="V131" s="3"/>
      <c r="W131" s="3">
        <v>677494</v>
      </c>
      <c r="X131" s="3"/>
      <c r="Y131" s="3">
        <v>0</v>
      </c>
      <c r="Z131" s="3"/>
      <c r="AA131" s="3">
        <v>106220</v>
      </c>
      <c r="AB131" s="3"/>
      <c r="AC131" s="16" t="s">
        <v>235</v>
      </c>
      <c r="AD131" s="16"/>
      <c r="AE131" s="16" t="s">
        <v>236</v>
      </c>
      <c r="AF131" s="16"/>
      <c r="AG131" s="3">
        <v>62824</v>
      </c>
      <c r="AH131" s="3"/>
      <c r="AI131" s="3">
        <v>320386</v>
      </c>
      <c r="AJ131" s="3"/>
      <c r="AK131" s="3">
        <v>0</v>
      </c>
      <c r="AL131" s="3"/>
      <c r="AM131" s="3">
        <v>0</v>
      </c>
      <c r="AN131" s="3"/>
      <c r="AO131" s="3">
        <v>24492</v>
      </c>
      <c r="AP131" s="3"/>
      <c r="AQ131" s="3">
        <v>0</v>
      </c>
      <c r="AR131" s="3"/>
      <c r="AS131" s="3">
        <v>0</v>
      </c>
      <c r="AT131" s="3"/>
      <c r="AU131" s="3">
        <v>0</v>
      </c>
      <c r="AV131" s="3"/>
      <c r="AW131" s="3">
        <v>0</v>
      </c>
      <c r="AX131" s="3"/>
      <c r="AY131" s="3">
        <v>138981</v>
      </c>
      <c r="AZ131" s="3"/>
      <c r="BA131" s="3">
        <f t="shared" si="2"/>
        <v>17333308</v>
      </c>
      <c r="BB131" s="3"/>
      <c r="BC131" s="3">
        <f>+'St of Act-Rev'!AG130-BA131</f>
        <v>278278</v>
      </c>
      <c r="BD131" s="3"/>
      <c r="BE131" s="3">
        <v>5777094</v>
      </c>
      <c r="BF131" s="3"/>
      <c r="BG131" s="3">
        <f t="shared" si="3"/>
        <v>6055372</v>
      </c>
      <c r="BH131" s="3"/>
      <c r="BI131" s="3">
        <f>+'St of Net Assets'!AA130-BG131</f>
        <v>0</v>
      </c>
      <c r="BJ131" s="27"/>
    </row>
    <row r="132" spans="1:62">
      <c r="G132" s="3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</row>
    <row r="133" spans="1:62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AA133" s="50" t="s">
        <v>310</v>
      </c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</row>
    <row r="134" spans="1:62"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</row>
    <row r="135" spans="1:62"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</row>
    <row r="136" spans="1:62"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</row>
    <row r="137" spans="1:62"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</row>
    <row r="138" spans="1:62"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</row>
    <row r="139" spans="1:62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16"/>
      <c r="AD139" s="16"/>
      <c r="AE139" s="16"/>
      <c r="AF139" s="16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62"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</row>
  </sheetData>
  <mergeCells count="2">
    <mergeCell ref="O7:AB7"/>
    <mergeCell ref="AM7:AO7"/>
  </mergeCells>
  <phoneticPr fontId="3" type="noConversion"/>
  <pageMargins left="0.9" right="0.75" top="0.5" bottom="0.5" header="0.25" footer="0.25"/>
  <pageSetup scale="80" firstPageNumber="16" pageOrder="overThenDown" orientation="portrait" useFirstPageNumber="1" r:id="rId1"/>
  <headerFooter scaleWithDoc="0" alignWithMargins="0">
    <oddFooter>&amp;C&amp;"Times New Roman,Regular"&amp;12&amp;P</oddFooter>
  </headerFooter>
  <colBreaks count="4" manualBreakCount="4">
    <brk id="13" max="1048575" man="1"/>
    <brk id="28" max="1048575" man="1"/>
    <brk id="41" max="1048575" man="1"/>
    <brk id="5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2"/>
  <sheetViews>
    <sheetView zoomScaleNormal="100" zoomScaleSheetLayoutView="70" workbookViewId="0">
      <pane xSplit="6" ySplit="10" topLeftCell="G11" activePane="bottomRight" state="frozen"/>
      <selection pane="topRight" activeCell="G1" sqref="G1"/>
      <selection pane="bottomLeft" activeCell="A9" sqref="A9"/>
      <selection pane="bottomRight" activeCell="G11" sqref="G11"/>
    </sheetView>
  </sheetViews>
  <sheetFormatPr defaultRowHeight="12.75"/>
  <cols>
    <col min="1" max="1" width="40.7109375" style="18" customWidth="1"/>
    <col min="2" max="2" width="1.7109375" style="18" customWidth="1"/>
    <col min="3" max="3" width="8.7109375" style="18" customWidth="1"/>
    <col min="4" max="4" width="1.7109375" style="18" hidden="1" customWidth="1"/>
    <col min="5" max="5" width="11.7109375" style="18" hidden="1" customWidth="1"/>
    <col min="6" max="6" width="1.7109375" style="18" customWidth="1"/>
    <col min="7" max="7" width="11.7109375" style="18" customWidth="1"/>
    <col min="8" max="8" width="1.7109375" style="18" customWidth="1"/>
    <col min="9" max="9" width="11.7109375" style="18" customWidth="1"/>
    <col min="10" max="10" width="1.7109375" style="18" customWidth="1"/>
    <col min="11" max="11" width="11.7109375" style="18" customWidth="1"/>
    <col min="12" max="12" width="1.7109375" style="18" customWidth="1"/>
    <col min="13" max="13" width="11.7109375" style="18" customWidth="1"/>
    <col min="14" max="14" width="1.7109375" style="18" customWidth="1"/>
    <col min="15" max="15" width="11.7109375" style="18" customWidth="1"/>
    <col min="16" max="16" width="1.7109375" style="18" customWidth="1"/>
    <col min="17" max="17" width="11.7109375" style="18" customWidth="1"/>
    <col min="18" max="18" width="1.7109375" style="18" customWidth="1"/>
    <col min="19" max="19" width="11.7109375" style="18" customWidth="1"/>
    <col min="20" max="20" width="1.7109375" style="18" hidden="1" customWidth="1"/>
    <col min="21" max="21" width="11.7109375" style="18" hidden="1" customWidth="1"/>
    <col min="22" max="22" width="1.7109375" style="18" customWidth="1"/>
    <col min="23" max="23" width="11.7109375" style="18" customWidth="1"/>
    <col min="24" max="24" width="1.7109375" style="18" customWidth="1"/>
    <col min="25" max="25" width="11.7109375" style="18" customWidth="1"/>
    <col min="26" max="26" width="1.7109375" style="18" customWidth="1"/>
    <col min="27" max="27" width="11.7109375" style="18" customWidth="1"/>
    <col min="28" max="28" width="1.7109375" style="18" customWidth="1"/>
    <col min="29" max="29" width="11.7109375" style="18" customWidth="1"/>
    <col min="30" max="30" width="1.7109375" style="18" customWidth="1"/>
    <col min="31" max="31" width="11.7109375" style="21" customWidth="1"/>
    <col min="32" max="32" width="1.7109375" style="18" customWidth="1"/>
    <col min="33" max="16384" width="9.140625" style="18"/>
  </cols>
  <sheetData>
    <row r="1" spans="1:31" s="16" customFormat="1" ht="12">
      <c r="A1" s="51" t="s">
        <v>94</v>
      </c>
      <c r="B1" s="51"/>
      <c r="C1" s="51"/>
      <c r="D1" s="51"/>
      <c r="E1" s="51"/>
      <c r="F1" s="51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1"/>
      <c r="AE1" s="3"/>
    </row>
    <row r="2" spans="1:31" s="16" customFormat="1" ht="12">
      <c r="A2" s="51" t="s">
        <v>357</v>
      </c>
      <c r="B2" s="51"/>
      <c r="C2" s="51"/>
      <c r="D2" s="51"/>
      <c r="E2" s="51"/>
      <c r="F2" s="5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1"/>
      <c r="AE2" s="3"/>
    </row>
    <row r="3" spans="1:31" s="16" customFormat="1" ht="12">
      <c r="A3" s="46"/>
      <c r="B3" s="51"/>
      <c r="C3" s="51"/>
      <c r="D3" s="51"/>
      <c r="E3" s="51"/>
      <c r="F3" s="5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1"/>
      <c r="AE3" s="3"/>
    </row>
    <row r="4" spans="1:31" s="16" customFormat="1" ht="12">
      <c r="A4" s="19" t="s">
        <v>316</v>
      </c>
      <c r="B4" s="19"/>
      <c r="C4" s="19"/>
      <c r="D4" s="19"/>
      <c r="E4" s="19"/>
      <c r="F4" s="5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42"/>
      <c r="AE4" s="3"/>
    </row>
    <row r="5" spans="1:31" s="16" customFormat="1" ht="12">
      <c r="A5" s="19"/>
      <c r="B5" s="19"/>
      <c r="C5" s="19"/>
      <c r="D5" s="19"/>
      <c r="E5" s="19"/>
      <c r="F5" s="5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42"/>
      <c r="AE5" s="3"/>
    </row>
    <row r="6" spans="1:31" s="16" customFormat="1" ht="12">
      <c r="A6" s="19"/>
      <c r="B6" s="19"/>
      <c r="C6" s="19"/>
      <c r="D6" s="19"/>
      <c r="E6" s="19"/>
      <c r="F6" s="5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42"/>
      <c r="AE6" s="3"/>
    </row>
    <row r="7" spans="1:31" s="3" customFormat="1" ht="12">
      <c r="A7" s="46"/>
      <c r="G7" s="73" t="s">
        <v>2</v>
      </c>
      <c r="H7" s="73"/>
      <c r="I7" s="73"/>
      <c r="J7" s="73"/>
      <c r="K7" s="73"/>
      <c r="O7" s="73" t="s">
        <v>15</v>
      </c>
      <c r="P7" s="73"/>
      <c r="Q7" s="73"/>
      <c r="W7" s="73" t="s">
        <v>395</v>
      </c>
      <c r="X7" s="73"/>
      <c r="Y7" s="73"/>
      <c r="Z7" s="73"/>
      <c r="AA7" s="73"/>
    </row>
    <row r="8" spans="1:31" s="20" customFormat="1" ht="12">
      <c r="B8" s="53"/>
      <c r="C8" s="53"/>
      <c r="D8" s="53"/>
      <c r="E8" s="53"/>
      <c r="F8" s="9"/>
      <c r="L8" s="2"/>
      <c r="M8" s="2"/>
      <c r="N8" s="2"/>
      <c r="R8" s="2"/>
      <c r="S8" s="2"/>
      <c r="T8" s="2"/>
      <c r="U8" s="2" t="s">
        <v>274</v>
      </c>
      <c r="V8" s="2"/>
      <c r="X8" s="2"/>
      <c r="Y8" s="2" t="s">
        <v>285</v>
      </c>
      <c r="Z8" s="2"/>
      <c r="AA8" s="2" t="s">
        <v>285</v>
      </c>
      <c r="AB8" s="2"/>
      <c r="AC8" s="2" t="s">
        <v>8</v>
      </c>
      <c r="AD8" s="37"/>
      <c r="AE8" s="11" t="s">
        <v>4</v>
      </c>
    </row>
    <row r="9" spans="1:31" s="20" customFormat="1" ht="12">
      <c r="B9" s="9"/>
      <c r="C9" s="9"/>
      <c r="D9" s="9"/>
      <c r="E9" s="9"/>
      <c r="F9" s="9"/>
      <c r="G9" s="2" t="s">
        <v>95</v>
      </c>
      <c r="H9" s="2"/>
      <c r="I9" s="2" t="s">
        <v>18</v>
      </c>
      <c r="J9" s="2"/>
      <c r="K9" s="2" t="s">
        <v>87</v>
      </c>
      <c r="L9" s="2"/>
      <c r="M9" s="2" t="s">
        <v>8</v>
      </c>
      <c r="N9" s="2"/>
      <c r="O9" s="2"/>
      <c r="P9" s="2"/>
      <c r="Q9" s="2" t="s">
        <v>7</v>
      </c>
      <c r="R9" s="2"/>
      <c r="S9" s="2" t="s">
        <v>8</v>
      </c>
      <c r="T9" s="2"/>
      <c r="U9" s="2" t="s">
        <v>27</v>
      </c>
      <c r="V9" s="2"/>
      <c r="W9" s="2" t="s">
        <v>96</v>
      </c>
      <c r="X9" s="2"/>
      <c r="Y9" s="2" t="s">
        <v>281</v>
      </c>
      <c r="Z9" s="2"/>
      <c r="AA9" s="2" t="s">
        <v>311</v>
      </c>
      <c r="AB9" s="2"/>
      <c r="AC9" s="2" t="s">
        <v>97</v>
      </c>
      <c r="AD9" s="37"/>
      <c r="AE9" s="11" t="s">
        <v>98</v>
      </c>
    </row>
    <row r="10" spans="1:31" s="37" customFormat="1" ht="12">
      <c r="A10" s="38" t="s">
        <v>354</v>
      </c>
      <c r="B10" s="20"/>
      <c r="C10" s="38" t="s">
        <v>12</v>
      </c>
      <c r="D10" s="20"/>
      <c r="E10" s="38" t="s">
        <v>13</v>
      </c>
      <c r="F10" s="9"/>
      <c r="G10" s="72" t="s">
        <v>14</v>
      </c>
      <c r="H10" s="2"/>
      <c r="I10" s="72" t="s">
        <v>2</v>
      </c>
      <c r="J10" s="2"/>
      <c r="K10" s="72" t="s">
        <v>2</v>
      </c>
      <c r="L10" s="2"/>
      <c r="M10" s="72" t="s">
        <v>2</v>
      </c>
      <c r="N10" s="2"/>
      <c r="O10" s="72" t="s">
        <v>15</v>
      </c>
      <c r="P10" s="2"/>
      <c r="Q10" s="72" t="s">
        <v>99</v>
      </c>
      <c r="R10" s="2"/>
      <c r="S10" s="72" t="s">
        <v>15</v>
      </c>
      <c r="T10" s="2"/>
      <c r="U10" s="2" t="s">
        <v>17</v>
      </c>
      <c r="V10" s="2"/>
      <c r="W10" s="72" t="s">
        <v>100</v>
      </c>
      <c r="X10" s="2"/>
      <c r="Y10" s="72" t="s">
        <v>100</v>
      </c>
      <c r="Z10" s="2"/>
      <c r="AA10" s="72" t="s">
        <v>100</v>
      </c>
      <c r="AB10" s="2"/>
      <c r="AC10" s="72" t="s">
        <v>122</v>
      </c>
      <c r="AE10" s="72" t="s">
        <v>20</v>
      </c>
    </row>
    <row r="11" spans="1:31" s="37" customFormat="1" ht="12">
      <c r="B11" s="20"/>
      <c r="D11" s="20"/>
      <c r="F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E11" s="2"/>
    </row>
    <row r="12" spans="1:31">
      <c r="A12" s="39" t="s">
        <v>308</v>
      </c>
    </row>
    <row r="13" spans="1:31">
      <c r="A13" s="39"/>
    </row>
    <row r="14" spans="1:31">
      <c r="A14" s="3" t="s">
        <v>359</v>
      </c>
      <c r="B14" s="3"/>
      <c r="C14" s="3" t="s">
        <v>321</v>
      </c>
      <c r="G14" s="34">
        <v>4813780</v>
      </c>
      <c r="H14" s="34"/>
      <c r="I14" s="34">
        <v>0</v>
      </c>
      <c r="J14" s="34"/>
      <c r="K14" s="15">
        <f>+M14-I14-G14</f>
        <v>3568034</v>
      </c>
      <c r="L14" s="34"/>
      <c r="M14" s="34">
        <v>8381814</v>
      </c>
      <c r="N14" s="34"/>
      <c r="O14" s="15">
        <f>+S14-Q14</f>
        <v>1291763</v>
      </c>
      <c r="P14" s="34"/>
      <c r="Q14" s="34">
        <v>3234237</v>
      </c>
      <c r="R14" s="34"/>
      <c r="S14" s="34">
        <v>4526000</v>
      </c>
      <c r="T14" s="34"/>
      <c r="U14" s="34"/>
      <c r="V14" s="34"/>
      <c r="W14" s="34">
        <f>269936+618699</f>
        <v>888635</v>
      </c>
      <c r="X14" s="34"/>
      <c r="Y14" s="34">
        <v>0</v>
      </c>
      <c r="Z14" s="34"/>
      <c r="AA14" s="34">
        <v>2967179</v>
      </c>
      <c r="AB14" s="34"/>
      <c r="AC14" s="54">
        <f>SUM(W14:AA14)</f>
        <v>3855814</v>
      </c>
      <c r="AD14" s="16"/>
      <c r="AE14" s="3">
        <f>+G14+I14+K14-O14-Q14-AA14-Y14-U14-W14</f>
        <v>0</v>
      </c>
    </row>
    <row r="15" spans="1:31">
      <c r="A15" s="3" t="s">
        <v>286</v>
      </c>
      <c r="B15" s="16"/>
      <c r="C15" s="16" t="s">
        <v>151</v>
      </c>
      <c r="E15" s="16">
        <v>62042</v>
      </c>
      <c r="G15" s="3">
        <v>4022287</v>
      </c>
      <c r="H15" s="3"/>
      <c r="I15" s="3">
        <v>0</v>
      </c>
      <c r="J15" s="3"/>
      <c r="K15" s="8">
        <f>+M15-I15-G15</f>
        <v>2509493</v>
      </c>
      <c r="L15" s="3"/>
      <c r="M15" s="3">
        <v>6531780</v>
      </c>
      <c r="N15" s="3"/>
      <c r="O15" s="8">
        <f>+S15-Q15</f>
        <v>523325</v>
      </c>
      <c r="P15" s="3"/>
      <c r="Q15" s="3">
        <v>1929353</v>
      </c>
      <c r="R15" s="3"/>
      <c r="S15" s="3">
        <v>2452678</v>
      </c>
      <c r="T15" s="3"/>
      <c r="U15" s="3"/>
      <c r="V15" s="3"/>
      <c r="W15" s="3">
        <f>157747+535396</f>
        <v>693143</v>
      </c>
      <c r="X15" s="3"/>
      <c r="Y15" s="3">
        <v>72189</v>
      </c>
      <c r="Z15" s="3"/>
      <c r="AA15" s="3">
        <v>3313770</v>
      </c>
      <c r="AB15" s="3"/>
      <c r="AC15" s="22">
        <f>SUM(W15:AA15)</f>
        <v>4079102</v>
      </c>
      <c r="AD15" s="16"/>
      <c r="AE15" s="3">
        <f>+G15+I15+K15-O15-Q15-AA15-Y15-U15-W15</f>
        <v>0</v>
      </c>
    </row>
    <row r="16" spans="1:31">
      <c r="A16" s="3" t="s">
        <v>237</v>
      </c>
      <c r="B16" s="16"/>
      <c r="C16" s="16" t="s">
        <v>152</v>
      </c>
      <c r="E16" s="16">
        <v>50815</v>
      </c>
      <c r="G16" s="3">
        <v>5250775</v>
      </c>
      <c r="H16" s="3"/>
      <c r="I16" s="3">
        <v>4933</v>
      </c>
      <c r="J16" s="3"/>
      <c r="K16" s="8">
        <f>+M16-I16-G16</f>
        <v>4891191</v>
      </c>
      <c r="L16" s="3"/>
      <c r="M16" s="3">
        <v>10146899</v>
      </c>
      <c r="N16" s="3"/>
      <c r="O16" s="8">
        <f>+S16-Q16</f>
        <v>1019058</v>
      </c>
      <c r="P16" s="3"/>
      <c r="Q16" s="3">
        <v>2854675</v>
      </c>
      <c r="R16" s="3"/>
      <c r="S16" s="3">
        <v>3873733</v>
      </c>
      <c r="T16" s="3"/>
      <c r="U16" s="3"/>
      <c r="V16" s="3"/>
      <c r="W16" s="3">
        <f>122009+1519877+4933</f>
        <v>1646819</v>
      </c>
      <c r="X16" s="3"/>
      <c r="Y16" s="3">
        <v>0</v>
      </c>
      <c r="Z16" s="3"/>
      <c r="AA16" s="3">
        <v>4626347</v>
      </c>
      <c r="AB16" s="3"/>
      <c r="AC16" s="22">
        <f>SUM(W16:AA16)</f>
        <v>6273166</v>
      </c>
      <c r="AD16" s="16"/>
      <c r="AE16" s="3">
        <f>+G16+I16+K16-O16-Q16-AA16-Y16-U16-W16</f>
        <v>0</v>
      </c>
    </row>
    <row r="17" spans="1:31">
      <c r="A17" s="3" t="s">
        <v>360</v>
      </c>
      <c r="B17" s="16"/>
      <c r="C17" s="16" t="s">
        <v>154</v>
      </c>
      <c r="E17" s="16">
        <v>51169</v>
      </c>
      <c r="G17" s="3">
        <f>5939376+260898</f>
        <v>6200274</v>
      </c>
      <c r="H17" s="3"/>
      <c r="I17" s="3">
        <v>0</v>
      </c>
      <c r="J17" s="3"/>
      <c r="K17" s="8">
        <f t="shared" ref="K17:K64" si="0">+M17-I17-G17</f>
        <v>6980643</v>
      </c>
      <c r="L17" s="3"/>
      <c r="M17" s="3">
        <v>13180917</v>
      </c>
      <c r="N17" s="3"/>
      <c r="O17" s="8">
        <f t="shared" ref="O17:O64" si="1">+S17-Q17</f>
        <v>716655</v>
      </c>
      <c r="P17" s="3"/>
      <c r="Q17" s="3">
        <v>5624531</v>
      </c>
      <c r="R17" s="3"/>
      <c r="S17" s="3">
        <v>6341186</v>
      </c>
      <c r="T17" s="3"/>
      <c r="U17" s="3"/>
      <c r="V17" s="3"/>
      <c r="W17" s="3">
        <f>22605+660057+100000</f>
        <v>782662</v>
      </c>
      <c r="X17" s="3"/>
      <c r="Y17" s="3">
        <v>0</v>
      </c>
      <c r="Z17" s="3"/>
      <c r="AA17" s="3">
        <v>6057069</v>
      </c>
      <c r="AB17" s="3"/>
      <c r="AC17" s="22">
        <f t="shared" ref="AC17:AC64" si="2">SUM(W17:AA17)</f>
        <v>6839731</v>
      </c>
      <c r="AD17" s="16"/>
      <c r="AE17" s="3">
        <f t="shared" ref="AE17:AE64" si="3">+G17+I17+K17-O17-Q17-AA17-Y17-U17-W17</f>
        <v>0</v>
      </c>
    </row>
    <row r="18" spans="1:31">
      <c r="A18" s="3" t="s">
        <v>361</v>
      </c>
      <c r="B18" s="16"/>
      <c r="C18" s="16" t="s">
        <v>157</v>
      </c>
      <c r="E18" s="16">
        <v>50856</v>
      </c>
      <c r="G18" s="3">
        <v>560087</v>
      </c>
      <c r="H18" s="3"/>
      <c r="I18" s="3">
        <v>33817</v>
      </c>
      <c r="J18" s="3"/>
      <c r="K18" s="8">
        <f t="shared" si="0"/>
        <v>1668765</v>
      </c>
      <c r="L18" s="3"/>
      <c r="M18" s="3">
        <v>2262669</v>
      </c>
      <c r="N18" s="3"/>
      <c r="O18" s="8">
        <f t="shared" si="1"/>
        <v>738381</v>
      </c>
      <c r="P18" s="3"/>
      <c r="Q18" s="3">
        <v>1506515</v>
      </c>
      <c r="R18" s="3"/>
      <c r="S18" s="3">
        <v>2244896</v>
      </c>
      <c r="T18" s="3"/>
      <c r="U18" s="3"/>
      <c r="V18" s="3"/>
      <c r="W18" s="3">
        <f>171142+106676+22817+11000</f>
        <v>311635</v>
      </c>
      <c r="X18" s="3"/>
      <c r="Y18" s="3">
        <v>0</v>
      </c>
      <c r="Z18" s="3"/>
      <c r="AA18" s="3">
        <v>-293862</v>
      </c>
      <c r="AB18" s="3"/>
      <c r="AC18" s="22">
        <f t="shared" si="2"/>
        <v>17773</v>
      </c>
      <c r="AD18" s="16"/>
      <c r="AE18" s="3">
        <f t="shared" si="3"/>
        <v>0</v>
      </c>
    </row>
    <row r="19" spans="1:31">
      <c r="A19" s="3" t="s">
        <v>256</v>
      </c>
      <c r="B19" s="16"/>
      <c r="C19" s="16" t="s">
        <v>227</v>
      </c>
      <c r="E19" s="16">
        <v>51656</v>
      </c>
      <c r="G19" s="3">
        <v>12631794</v>
      </c>
      <c r="H19" s="3"/>
      <c r="I19" s="3">
        <v>41084</v>
      </c>
      <c r="J19" s="3"/>
      <c r="K19" s="8">
        <f t="shared" si="0"/>
        <v>4177241</v>
      </c>
      <c r="L19" s="3"/>
      <c r="M19" s="3">
        <v>16850119</v>
      </c>
      <c r="N19" s="3"/>
      <c r="O19" s="8">
        <f t="shared" si="1"/>
        <v>1332526</v>
      </c>
      <c r="P19" s="3"/>
      <c r="Q19" s="3">
        <f>3265264+307839</f>
        <v>3573103</v>
      </c>
      <c r="R19" s="3"/>
      <c r="S19" s="3">
        <v>4905629</v>
      </c>
      <c r="T19" s="3"/>
      <c r="U19" s="3"/>
      <c r="V19" s="3"/>
      <c r="W19" s="3">
        <f>47312+104537+1449+326176+41084</f>
        <v>520558</v>
      </c>
      <c r="X19" s="3"/>
      <c r="Y19" s="3">
        <v>0</v>
      </c>
      <c r="Z19" s="3"/>
      <c r="AA19" s="3">
        <v>11423932</v>
      </c>
      <c r="AB19" s="3"/>
      <c r="AC19" s="22">
        <f t="shared" si="2"/>
        <v>11944490</v>
      </c>
      <c r="AD19" s="16"/>
      <c r="AE19" s="3">
        <f t="shared" si="3"/>
        <v>0</v>
      </c>
    </row>
    <row r="20" spans="1:31">
      <c r="A20" s="3" t="s">
        <v>337</v>
      </c>
      <c r="B20" s="16"/>
      <c r="C20" s="16" t="s">
        <v>155</v>
      </c>
      <c r="E20" s="16">
        <v>50880</v>
      </c>
      <c r="G20" s="3">
        <v>12178895</v>
      </c>
      <c r="H20" s="3"/>
      <c r="I20" s="3">
        <v>0</v>
      </c>
      <c r="J20" s="3"/>
      <c r="K20" s="8">
        <f t="shared" si="0"/>
        <v>16987676</v>
      </c>
      <c r="L20" s="3"/>
      <c r="M20" s="3">
        <v>29166571</v>
      </c>
      <c r="N20" s="3"/>
      <c r="O20" s="8">
        <f t="shared" si="1"/>
        <v>3821485</v>
      </c>
      <c r="P20" s="3"/>
      <c r="Q20" s="3">
        <v>16343637</v>
      </c>
      <c r="R20" s="3"/>
      <c r="S20" s="3">
        <v>20165122</v>
      </c>
      <c r="T20" s="3"/>
      <c r="U20" s="3"/>
      <c r="V20" s="3"/>
      <c r="W20" s="3">
        <f>1474737+467953</f>
        <v>1942690</v>
      </c>
      <c r="X20" s="3"/>
      <c r="Y20" s="3">
        <v>0</v>
      </c>
      <c r="Z20" s="3"/>
      <c r="AA20" s="3">
        <v>7058759</v>
      </c>
      <c r="AB20" s="3"/>
      <c r="AC20" s="22">
        <f t="shared" si="2"/>
        <v>9001449</v>
      </c>
      <c r="AD20" s="16"/>
      <c r="AE20" s="3">
        <f t="shared" si="3"/>
        <v>0</v>
      </c>
    </row>
    <row r="21" spans="1:31" s="24" customFormat="1" hidden="1">
      <c r="A21" s="3" t="s">
        <v>340</v>
      </c>
      <c r="B21" s="16"/>
      <c r="C21" s="16" t="s">
        <v>248</v>
      </c>
      <c r="E21" s="16">
        <v>63511</v>
      </c>
      <c r="G21" s="3"/>
      <c r="H21" s="3"/>
      <c r="I21" s="3"/>
      <c r="J21" s="3"/>
      <c r="K21" s="8">
        <f t="shared" si="0"/>
        <v>0</v>
      </c>
      <c r="L21" s="3"/>
      <c r="M21" s="3"/>
      <c r="N21" s="3"/>
      <c r="O21" s="8">
        <f t="shared" si="1"/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2">
        <f t="shared" si="2"/>
        <v>0</v>
      </c>
      <c r="AD21" s="16"/>
      <c r="AE21" s="3">
        <f t="shared" si="3"/>
        <v>0</v>
      </c>
    </row>
    <row r="22" spans="1:31">
      <c r="A22" s="3" t="s">
        <v>338</v>
      </c>
      <c r="B22" s="16"/>
      <c r="C22" s="16" t="s">
        <v>165</v>
      </c>
      <c r="E22" s="16">
        <v>50906</v>
      </c>
      <c r="G22" s="3">
        <v>3298871</v>
      </c>
      <c r="H22" s="3"/>
      <c r="I22" s="3">
        <v>0</v>
      </c>
      <c r="J22" s="3"/>
      <c r="K22" s="8">
        <f t="shared" si="0"/>
        <v>2054263</v>
      </c>
      <c r="L22" s="3"/>
      <c r="M22" s="3">
        <v>5353134</v>
      </c>
      <c r="N22" s="3"/>
      <c r="O22" s="8">
        <f t="shared" si="1"/>
        <v>424674</v>
      </c>
      <c r="P22" s="3"/>
      <c r="Q22" s="3">
        <f>186941+1698251</f>
        <v>1885192</v>
      </c>
      <c r="R22" s="3"/>
      <c r="S22" s="3">
        <v>2309866</v>
      </c>
      <c r="T22" s="3"/>
      <c r="U22" s="3"/>
      <c r="V22" s="3"/>
      <c r="W22" s="3">
        <f>5501+168983</f>
        <v>174484</v>
      </c>
      <c r="X22" s="3"/>
      <c r="Y22" s="3">
        <v>0</v>
      </c>
      <c r="Z22" s="3"/>
      <c r="AA22" s="3">
        <v>2868784</v>
      </c>
      <c r="AB22" s="3"/>
      <c r="AC22" s="22">
        <f t="shared" si="2"/>
        <v>3043268</v>
      </c>
      <c r="AD22" s="16"/>
      <c r="AE22" s="3">
        <f t="shared" si="3"/>
        <v>0</v>
      </c>
    </row>
    <row r="23" spans="1:31">
      <c r="A23" s="3" t="s">
        <v>291</v>
      </c>
      <c r="B23" s="16"/>
      <c r="C23" s="16" t="s">
        <v>240</v>
      </c>
      <c r="E23" s="16">
        <v>65227</v>
      </c>
      <c r="G23" s="3">
        <v>631395</v>
      </c>
      <c r="H23" s="3"/>
      <c r="I23" s="3">
        <v>0</v>
      </c>
      <c r="J23" s="3"/>
      <c r="K23" s="8">
        <f t="shared" si="0"/>
        <v>1254419</v>
      </c>
      <c r="L23" s="3"/>
      <c r="M23" s="3">
        <v>1885814</v>
      </c>
      <c r="N23" s="3"/>
      <c r="O23" s="8">
        <f t="shared" si="1"/>
        <v>425245</v>
      </c>
      <c r="P23" s="3"/>
      <c r="Q23" s="3">
        <v>1178203</v>
      </c>
      <c r="R23" s="3"/>
      <c r="S23" s="3">
        <v>1603448</v>
      </c>
      <c r="T23" s="3"/>
      <c r="U23" s="3"/>
      <c r="V23" s="3"/>
      <c r="W23" s="3">
        <f>40507+62654</f>
        <v>103161</v>
      </c>
      <c r="X23" s="3"/>
      <c r="Y23" s="3">
        <v>0</v>
      </c>
      <c r="Z23" s="3"/>
      <c r="AA23" s="3">
        <v>179205</v>
      </c>
      <c r="AB23" s="3"/>
      <c r="AC23" s="22">
        <f t="shared" si="2"/>
        <v>282366</v>
      </c>
      <c r="AD23" s="16"/>
      <c r="AE23" s="3">
        <f t="shared" si="3"/>
        <v>0</v>
      </c>
    </row>
    <row r="24" spans="1:31">
      <c r="A24" s="3" t="s">
        <v>342</v>
      </c>
      <c r="B24" s="16"/>
      <c r="C24" s="16" t="s">
        <v>187</v>
      </c>
      <c r="E24" s="16">
        <v>51201</v>
      </c>
      <c r="G24" s="3">
        <f>1083357+3367</f>
        <v>1086724</v>
      </c>
      <c r="H24" s="3"/>
      <c r="I24" s="3">
        <v>0</v>
      </c>
      <c r="J24" s="3"/>
      <c r="K24" s="8">
        <f t="shared" si="0"/>
        <v>7378609</v>
      </c>
      <c r="L24" s="3"/>
      <c r="M24" s="3">
        <v>8465333</v>
      </c>
      <c r="N24" s="3"/>
      <c r="O24" s="8">
        <f t="shared" si="1"/>
        <v>1192201</v>
      </c>
      <c r="P24" s="3"/>
      <c r="Q24" s="3">
        <v>6258648</v>
      </c>
      <c r="R24" s="3"/>
      <c r="S24" s="3">
        <v>7450849</v>
      </c>
      <c r="T24" s="3"/>
      <c r="U24" s="3"/>
      <c r="V24" s="3"/>
      <c r="W24" s="3">
        <f>49424+823274</f>
        <v>872698</v>
      </c>
      <c r="X24" s="3"/>
      <c r="Y24" s="3">
        <v>0</v>
      </c>
      <c r="Z24" s="3"/>
      <c r="AA24" s="3">
        <v>141786</v>
      </c>
      <c r="AB24" s="3"/>
      <c r="AC24" s="22">
        <f t="shared" si="2"/>
        <v>1014484</v>
      </c>
      <c r="AD24" s="16"/>
      <c r="AE24" s="3">
        <f t="shared" si="3"/>
        <v>0</v>
      </c>
    </row>
    <row r="25" spans="1:31">
      <c r="A25" s="3" t="s">
        <v>288</v>
      </c>
      <c r="B25" s="16"/>
      <c r="C25" s="16" t="s">
        <v>167</v>
      </c>
      <c r="E25" s="16">
        <v>50922</v>
      </c>
      <c r="G25" s="3">
        <f>7386595+6391794</f>
        <v>13778389</v>
      </c>
      <c r="H25" s="3"/>
      <c r="I25" s="3">
        <v>0</v>
      </c>
      <c r="J25" s="3"/>
      <c r="K25" s="8">
        <f t="shared" si="0"/>
        <v>11548060</v>
      </c>
      <c r="L25" s="3"/>
      <c r="M25" s="3">
        <v>25326449</v>
      </c>
      <c r="N25" s="3"/>
      <c r="O25" s="8">
        <f t="shared" si="1"/>
        <v>1685037</v>
      </c>
      <c r="P25" s="3"/>
      <c r="Q25" s="3">
        <f>1154544+9079045</f>
        <v>10233589</v>
      </c>
      <c r="R25" s="3"/>
      <c r="S25" s="3">
        <v>11918626</v>
      </c>
      <c r="T25" s="3"/>
      <c r="U25" s="3"/>
      <c r="V25" s="3"/>
      <c r="W25" s="3">
        <f>765419+11021+33350+1299436+12547</f>
        <v>2121773</v>
      </c>
      <c r="X25" s="3"/>
      <c r="Y25" s="3">
        <v>0</v>
      </c>
      <c r="Z25" s="3"/>
      <c r="AA25" s="3">
        <v>11286050</v>
      </c>
      <c r="AB25" s="3"/>
      <c r="AC25" s="22">
        <f t="shared" si="2"/>
        <v>13407823</v>
      </c>
      <c r="AD25" s="16"/>
      <c r="AE25" s="3">
        <f t="shared" si="3"/>
        <v>0</v>
      </c>
    </row>
    <row r="26" spans="1:31">
      <c r="A26" s="3" t="s">
        <v>287</v>
      </c>
      <c r="B26" s="16"/>
      <c r="C26" s="16" t="s">
        <v>171</v>
      </c>
      <c r="E26" s="16">
        <v>50989</v>
      </c>
      <c r="G26" s="3">
        <v>14807848</v>
      </c>
      <c r="H26" s="3"/>
      <c r="I26" s="3">
        <v>49102</v>
      </c>
      <c r="J26" s="3"/>
      <c r="K26" s="8">
        <f t="shared" si="0"/>
        <v>10396453</v>
      </c>
      <c r="L26" s="3"/>
      <c r="M26" s="3">
        <v>25253403</v>
      </c>
      <c r="N26" s="3"/>
      <c r="O26" s="8">
        <f t="shared" si="1"/>
        <v>909726</v>
      </c>
      <c r="P26" s="3"/>
      <c r="Q26" s="3">
        <f>396711+8200163</f>
        <v>8596874</v>
      </c>
      <c r="R26" s="3"/>
      <c r="S26" s="3">
        <v>9506600</v>
      </c>
      <c r="T26" s="3"/>
      <c r="U26" s="3"/>
      <c r="V26" s="3"/>
      <c r="W26" s="3">
        <f>291123+49102+40450+928699+38530</f>
        <v>1347904</v>
      </c>
      <c r="X26" s="3"/>
      <c r="Y26" s="3">
        <v>0</v>
      </c>
      <c r="Z26" s="3"/>
      <c r="AA26" s="3">
        <v>14398899</v>
      </c>
      <c r="AB26" s="3"/>
      <c r="AC26" s="22">
        <f t="shared" si="2"/>
        <v>15746803</v>
      </c>
      <c r="AD26" s="16"/>
      <c r="AE26" s="3">
        <f t="shared" si="3"/>
        <v>0</v>
      </c>
    </row>
    <row r="27" spans="1:31">
      <c r="A27" s="3" t="s">
        <v>289</v>
      </c>
      <c r="B27" s="16"/>
      <c r="C27" s="16" t="s">
        <v>175</v>
      </c>
      <c r="E27" s="16">
        <v>51003</v>
      </c>
      <c r="G27" s="3">
        <v>17881040</v>
      </c>
      <c r="H27" s="3"/>
      <c r="I27" s="3">
        <v>134041</v>
      </c>
      <c r="J27" s="3"/>
      <c r="K27" s="8">
        <f t="shared" si="0"/>
        <v>14804103</v>
      </c>
      <c r="L27" s="3"/>
      <c r="M27" s="3">
        <v>32819184</v>
      </c>
      <c r="N27" s="3"/>
      <c r="O27" s="8">
        <f t="shared" si="1"/>
        <v>2542306</v>
      </c>
      <c r="P27" s="3"/>
      <c r="Q27" s="3">
        <v>10718340</v>
      </c>
      <c r="R27" s="3"/>
      <c r="S27" s="3">
        <v>13260646</v>
      </c>
      <c r="T27" s="3"/>
      <c r="U27" s="3">
        <v>0</v>
      </c>
      <c r="V27" s="3"/>
      <c r="W27" s="3">
        <f>3904319+3787630</f>
        <v>7691949</v>
      </c>
      <c r="X27" s="3"/>
      <c r="Y27" s="3">
        <v>0</v>
      </c>
      <c r="Z27" s="3"/>
      <c r="AA27" s="3">
        <v>11866589</v>
      </c>
      <c r="AB27" s="3"/>
      <c r="AC27" s="22">
        <f t="shared" si="2"/>
        <v>19558538</v>
      </c>
      <c r="AD27" s="16"/>
      <c r="AE27" s="3">
        <f t="shared" si="3"/>
        <v>0</v>
      </c>
    </row>
    <row r="28" spans="1:31">
      <c r="A28" s="3" t="s">
        <v>290</v>
      </c>
      <c r="B28" s="16"/>
      <c r="C28" s="16" t="s">
        <v>172</v>
      </c>
      <c r="E28" s="16">
        <v>51029</v>
      </c>
      <c r="G28" s="3">
        <v>5239037</v>
      </c>
      <c r="H28" s="3"/>
      <c r="I28" s="3">
        <v>0</v>
      </c>
      <c r="J28" s="3"/>
      <c r="K28" s="8">
        <f t="shared" si="0"/>
        <v>6790179</v>
      </c>
      <c r="L28" s="3"/>
      <c r="M28" s="3">
        <v>12029216</v>
      </c>
      <c r="N28" s="3"/>
      <c r="O28" s="8">
        <f t="shared" si="1"/>
        <v>1010674</v>
      </c>
      <c r="P28" s="3"/>
      <c r="Q28" s="3">
        <f>865892+4979731</f>
        <v>5845623</v>
      </c>
      <c r="R28" s="3"/>
      <c r="S28" s="3">
        <v>6856297</v>
      </c>
      <c r="T28" s="3"/>
      <c r="U28" s="3">
        <v>0</v>
      </c>
      <c r="V28" s="3"/>
      <c r="W28" s="3">
        <f>52042+9287+15697+781290+3268</f>
        <v>861584</v>
      </c>
      <c r="X28" s="3"/>
      <c r="Y28" s="3">
        <v>0</v>
      </c>
      <c r="Z28" s="3"/>
      <c r="AA28" s="3">
        <v>4311335</v>
      </c>
      <c r="AB28" s="3"/>
      <c r="AC28" s="22">
        <f t="shared" si="2"/>
        <v>5172919</v>
      </c>
      <c r="AD28" s="16"/>
      <c r="AE28" s="3">
        <f t="shared" si="3"/>
        <v>0</v>
      </c>
    </row>
    <row r="29" spans="1:31">
      <c r="A29" s="3" t="s">
        <v>292</v>
      </c>
      <c r="B29" s="16"/>
      <c r="C29" s="16" t="s">
        <v>242</v>
      </c>
      <c r="E29" s="16">
        <v>50963</v>
      </c>
      <c r="G29" s="3">
        <f>5271039+3171021</f>
        <v>8442060</v>
      </c>
      <c r="H29" s="3"/>
      <c r="I29" s="3">
        <v>725000</v>
      </c>
      <c r="J29" s="3"/>
      <c r="K29" s="8">
        <f t="shared" si="0"/>
        <v>5740667</v>
      </c>
      <c r="L29" s="3"/>
      <c r="M29" s="3">
        <v>14907727</v>
      </c>
      <c r="N29" s="3"/>
      <c r="O29" s="8">
        <f t="shared" si="1"/>
        <v>1351504</v>
      </c>
      <c r="P29" s="3"/>
      <c r="Q29" s="3">
        <v>4666070</v>
      </c>
      <c r="R29" s="3"/>
      <c r="S29" s="3">
        <v>6017574</v>
      </c>
      <c r="T29" s="3"/>
      <c r="U29" s="3">
        <v>0</v>
      </c>
      <c r="V29" s="3"/>
      <c r="W29" s="3">
        <f>170358+155830+491092+725000</f>
        <v>1542280</v>
      </c>
      <c r="X29" s="3"/>
      <c r="Y29" s="3">
        <v>0</v>
      </c>
      <c r="Z29" s="3"/>
      <c r="AA29" s="3">
        <v>7347873</v>
      </c>
      <c r="AB29" s="3"/>
      <c r="AC29" s="22">
        <f t="shared" si="2"/>
        <v>8890153</v>
      </c>
      <c r="AD29" s="16"/>
      <c r="AE29" s="3">
        <f t="shared" si="3"/>
        <v>0</v>
      </c>
    </row>
    <row r="30" spans="1:31">
      <c r="A30" s="3" t="s">
        <v>241</v>
      </c>
      <c r="B30" s="16"/>
      <c r="C30" s="16" t="s">
        <v>178</v>
      </c>
      <c r="E30" s="16">
        <v>62067</v>
      </c>
      <c r="G30" s="3">
        <v>1789645</v>
      </c>
      <c r="H30" s="3"/>
      <c r="I30" s="3">
        <v>32757</v>
      </c>
      <c r="J30" s="3"/>
      <c r="K30" s="8">
        <f t="shared" si="0"/>
        <v>3126858</v>
      </c>
      <c r="L30" s="3"/>
      <c r="M30" s="3">
        <v>4949260</v>
      </c>
      <c r="N30" s="3"/>
      <c r="O30" s="8">
        <f t="shared" si="1"/>
        <v>859948</v>
      </c>
      <c r="P30" s="3"/>
      <c r="Q30" s="3">
        <v>2581079</v>
      </c>
      <c r="R30" s="3"/>
      <c r="S30" s="3">
        <v>3441027</v>
      </c>
      <c r="T30" s="3"/>
      <c r="U30" s="3"/>
      <c r="V30" s="3"/>
      <c r="W30" s="3">
        <f>230246+147384+32757</f>
        <v>410387</v>
      </c>
      <c r="X30" s="3"/>
      <c r="Y30" s="3">
        <v>0</v>
      </c>
      <c r="Z30" s="3"/>
      <c r="AA30" s="3">
        <v>1097846</v>
      </c>
      <c r="AB30" s="3"/>
      <c r="AC30" s="22">
        <f>SUM(W30:AA30)</f>
        <v>1508233</v>
      </c>
      <c r="AD30" s="16"/>
      <c r="AE30" s="3">
        <f>+G30+I30+K30-O30-Q30-AA30-Y30-U30-W30</f>
        <v>0</v>
      </c>
    </row>
    <row r="31" spans="1:31">
      <c r="A31" s="3" t="s">
        <v>374</v>
      </c>
      <c r="B31" s="16"/>
      <c r="C31" s="16" t="s">
        <v>181</v>
      </c>
      <c r="E31" s="16">
        <v>51060</v>
      </c>
      <c r="G31" s="3">
        <v>26048756</v>
      </c>
      <c r="H31" s="3"/>
      <c r="I31" s="3">
        <v>0</v>
      </c>
      <c r="J31" s="3"/>
      <c r="K31" s="8">
        <f>+M31-I31-G31</f>
        <v>43332919</v>
      </c>
      <c r="L31" s="3"/>
      <c r="M31" s="3">
        <v>69381675</v>
      </c>
      <c r="N31" s="3"/>
      <c r="O31" s="8">
        <f>+S31-Q31</f>
        <v>4299113</v>
      </c>
      <c r="P31" s="3"/>
      <c r="Q31" s="3">
        <v>28832041</v>
      </c>
      <c r="R31" s="3"/>
      <c r="S31" s="3">
        <v>33131154</v>
      </c>
      <c r="T31" s="3"/>
      <c r="U31" s="3"/>
      <c r="V31" s="3"/>
      <c r="W31" s="3">
        <f>644779+10675553</f>
        <v>11320332</v>
      </c>
      <c r="X31" s="3"/>
      <c r="Y31" s="3">
        <v>0</v>
      </c>
      <c r="Z31" s="3"/>
      <c r="AA31" s="3">
        <v>24930189</v>
      </c>
      <c r="AB31" s="3"/>
      <c r="AC31" s="22">
        <f>SUM(W31:AA31)</f>
        <v>36250521</v>
      </c>
      <c r="AD31" s="16"/>
      <c r="AE31" s="3">
        <f>+G31+I31+K31-O31-Q31-AA31-Y31-U31-W31</f>
        <v>0</v>
      </c>
    </row>
    <row r="32" spans="1:31">
      <c r="A32" s="3" t="s">
        <v>375</v>
      </c>
      <c r="B32" s="16"/>
      <c r="C32" s="16" t="s">
        <v>180</v>
      </c>
      <c r="E32" s="16">
        <v>51045</v>
      </c>
      <c r="G32" s="3">
        <v>3861621</v>
      </c>
      <c r="H32" s="3"/>
      <c r="I32" s="3">
        <v>0</v>
      </c>
      <c r="J32" s="3"/>
      <c r="K32" s="8">
        <f t="shared" si="0"/>
        <v>6954918</v>
      </c>
      <c r="L32" s="3"/>
      <c r="M32" s="3">
        <v>10816539</v>
      </c>
      <c r="N32" s="3"/>
      <c r="O32" s="8">
        <f t="shared" si="1"/>
        <v>1326034</v>
      </c>
      <c r="P32" s="3"/>
      <c r="Q32" s="3">
        <v>6129337</v>
      </c>
      <c r="R32" s="3"/>
      <c r="S32" s="3">
        <v>7455371</v>
      </c>
      <c r="T32" s="3"/>
      <c r="U32" s="3"/>
      <c r="V32" s="3"/>
      <c r="W32" s="3">
        <f>8169+566453</f>
        <v>574622</v>
      </c>
      <c r="X32" s="3"/>
      <c r="Y32" s="3">
        <v>0</v>
      </c>
      <c r="Z32" s="3"/>
      <c r="AA32" s="3">
        <v>2786546</v>
      </c>
      <c r="AB32" s="3"/>
      <c r="AC32" s="22">
        <f t="shared" si="2"/>
        <v>3361168</v>
      </c>
      <c r="AD32" s="16"/>
      <c r="AE32" s="3">
        <f t="shared" si="3"/>
        <v>0</v>
      </c>
    </row>
    <row r="33" spans="1:31">
      <c r="A33" s="3" t="s">
        <v>243</v>
      </c>
      <c r="B33" s="16"/>
      <c r="C33" s="16" t="s">
        <v>183</v>
      </c>
      <c r="E33" s="16">
        <v>51128</v>
      </c>
      <c r="G33" s="3">
        <v>138444</v>
      </c>
      <c r="H33" s="3"/>
      <c r="I33" s="3">
        <v>17604</v>
      </c>
      <c r="J33" s="3"/>
      <c r="K33" s="8">
        <f t="shared" si="0"/>
        <v>1649597</v>
      </c>
      <c r="L33" s="3"/>
      <c r="M33" s="3">
        <v>1805645</v>
      </c>
      <c r="N33" s="3"/>
      <c r="O33" s="8">
        <f t="shared" si="1"/>
        <v>513516</v>
      </c>
      <c r="P33" s="3"/>
      <c r="Q33" s="3">
        <v>1460413</v>
      </c>
      <c r="R33" s="3"/>
      <c r="S33" s="3">
        <v>1973929</v>
      </c>
      <c r="T33" s="3"/>
      <c r="U33" s="3"/>
      <c r="V33" s="3"/>
      <c r="W33" s="3">
        <f>64957+156425+17604</f>
        <v>238986</v>
      </c>
      <c r="X33" s="3"/>
      <c r="Y33" s="3">
        <v>0</v>
      </c>
      <c r="Z33" s="3"/>
      <c r="AA33" s="3">
        <v>-407270</v>
      </c>
      <c r="AB33" s="3"/>
      <c r="AC33" s="22">
        <f t="shared" si="2"/>
        <v>-168284</v>
      </c>
      <c r="AD33" s="16"/>
      <c r="AE33" s="3">
        <f t="shared" si="3"/>
        <v>0</v>
      </c>
    </row>
    <row r="34" spans="1:31">
      <c r="A34" s="3" t="s">
        <v>293</v>
      </c>
      <c r="B34" s="16"/>
      <c r="C34" s="16" t="s">
        <v>184</v>
      </c>
      <c r="E34" s="16">
        <v>51144</v>
      </c>
      <c r="G34" s="3">
        <v>10305274</v>
      </c>
      <c r="H34" s="3"/>
      <c r="I34" s="3">
        <v>0</v>
      </c>
      <c r="J34" s="3"/>
      <c r="K34" s="8">
        <f t="shared" si="0"/>
        <v>4276923</v>
      </c>
      <c r="L34" s="3"/>
      <c r="M34" s="3">
        <v>14582197</v>
      </c>
      <c r="N34" s="3"/>
      <c r="O34" s="8">
        <f t="shared" si="1"/>
        <v>808124</v>
      </c>
      <c r="P34" s="3"/>
      <c r="Q34" s="3">
        <v>2035131</v>
      </c>
      <c r="R34" s="3"/>
      <c r="S34" s="3">
        <v>2843255</v>
      </c>
      <c r="T34" s="3"/>
      <c r="U34" s="3"/>
      <c r="V34" s="3"/>
      <c r="W34" s="3">
        <f>84342+1116627</f>
        <v>1200969</v>
      </c>
      <c r="X34" s="3"/>
      <c r="Y34" s="3">
        <v>0</v>
      </c>
      <c r="Z34" s="3"/>
      <c r="AA34" s="3">
        <v>10537973</v>
      </c>
      <c r="AB34" s="3"/>
      <c r="AC34" s="22">
        <f t="shared" si="2"/>
        <v>11738942</v>
      </c>
      <c r="AD34" s="16"/>
      <c r="AE34" s="3">
        <f t="shared" si="3"/>
        <v>0</v>
      </c>
    </row>
    <row r="35" spans="1:31">
      <c r="A35" s="3" t="s">
        <v>244</v>
      </c>
      <c r="B35" s="16"/>
      <c r="C35" s="16" t="s">
        <v>185</v>
      </c>
      <c r="E35" s="16">
        <v>51185</v>
      </c>
      <c r="G35" s="3">
        <v>3165587</v>
      </c>
      <c r="H35" s="3"/>
      <c r="I35" s="3">
        <v>0</v>
      </c>
      <c r="J35" s="3"/>
      <c r="K35" s="8">
        <f t="shared" si="0"/>
        <v>1600161</v>
      </c>
      <c r="L35" s="3"/>
      <c r="M35" s="3">
        <v>4765748</v>
      </c>
      <c r="N35" s="3"/>
      <c r="O35" s="8">
        <f t="shared" si="1"/>
        <v>511033</v>
      </c>
      <c r="P35" s="3"/>
      <c r="Q35" s="3">
        <v>1282581</v>
      </c>
      <c r="R35" s="3"/>
      <c r="S35" s="3">
        <v>1793614</v>
      </c>
      <c r="T35" s="3"/>
      <c r="U35" s="3"/>
      <c r="V35" s="3"/>
      <c r="W35" s="3">
        <f>272686+178312</f>
        <v>450998</v>
      </c>
      <c r="X35" s="3"/>
      <c r="Y35" s="3">
        <v>0</v>
      </c>
      <c r="Z35" s="3"/>
      <c r="AA35" s="3">
        <v>2521136</v>
      </c>
      <c r="AB35" s="3"/>
      <c r="AC35" s="22">
        <f t="shared" si="2"/>
        <v>2972134</v>
      </c>
      <c r="AD35" s="16"/>
      <c r="AE35" s="3">
        <f t="shared" si="3"/>
        <v>0</v>
      </c>
    </row>
    <row r="36" spans="1:31" s="24" customFormat="1" hidden="1">
      <c r="A36" s="3" t="s">
        <v>319</v>
      </c>
      <c r="B36" s="16"/>
      <c r="C36" s="16" t="s">
        <v>187</v>
      </c>
      <c r="E36" s="16">
        <v>47977</v>
      </c>
      <c r="G36" s="3"/>
      <c r="H36" s="3"/>
      <c r="I36" s="3"/>
      <c r="J36" s="3"/>
      <c r="K36" s="8">
        <f t="shared" si="0"/>
        <v>0</v>
      </c>
      <c r="L36" s="3"/>
      <c r="M36" s="3"/>
      <c r="N36" s="3"/>
      <c r="O36" s="8">
        <f t="shared" si="1"/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2">
        <f t="shared" si="2"/>
        <v>0</v>
      </c>
      <c r="AD36" s="16"/>
      <c r="AE36" s="3">
        <f t="shared" si="3"/>
        <v>0</v>
      </c>
    </row>
    <row r="37" spans="1:31">
      <c r="A37" s="3" t="s">
        <v>246</v>
      </c>
      <c r="B37" s="16"/>
      <c r="C37" s="16" t="s">
        <v>150</v>
      </c>
      <c r="E37" s="16">
        <v>51227</v>
      </c>
      <c r="G37" s="3">
        <v>8217578</v>
      </c>
      <c r="H37" s="3"/>
      <c r="I37" s="3">
        <v>0</v>
      </c>
      <c r="J37" s="3"/>
      <c r="K37" s="8">
        <f t="shared" si="0"/>
        <v>12415458</v>
      </c>
      <c r="L37" s="3"/>
      <c r="M37" s="3">
        <v>20633036</v>
      </c>
      <c r="N37" s="3"/>
      <c r="O37" s="8">
        <f t="shared" si="1"/>
        <v>2356841</v>
      </c>
      <c r="P37" s="3"/>
      <c r="Q37" s="3">
        <v>11541457</v>
      </c>
      <c r="R37" s="3"/>
      <c r="S37" s="3">
        <v>13898298</v>
      </c>
      <c r="T37" s="3"/>
      <c r="U37" s="3"/>
      <c r="V37" s="3"/>
      <c r="W37" s="3">
        <f>640099+8356+240724</f>
        <v>889179</v>
      </c>
      <c r="X37" s="3"/>
      <c r="Y37" s="3">
        <v>0</v>
      </c>
      <c r="Z37" s="3"/>
      <c r="AA37" s="3">
        <v>5845559</v>
      </c>
      <c r="AB37" s="3"/>
      <c r="AC37" s="22">
        <f t="shared" si="2"/>
        <v>6734738</v>
      </c>
      <c r="AD37" s="16"/>
      <c r="AE37" s="3">
        <f t="shared" si="3"/>
        <v>0</v>
      </c>
    </row>
    <row r="38" spans="1:31" s="24" customFormat="1">
      <c r="A38" s="3" t="s">
        <v>249</v>
      </c>
      <c r="B38" s="16"/>
      <c r="C38" s="16" t="s">
        <v>191</v>
      </c>
      <c r="E38" s="16">
        <v>51243</v>
      </c>
      <c r="G38" s="3">
        <v>7253615</v>
      </c>
      <c r="H38" s="3"/>
      <c r="I38" s="3">
        <v>0</v>
      </c>
      <c r="J38" s="3"/>
      <c r="K38" s="8">
        <f t="shared" si="0"/>
        <v>20451029</v>
      </c>
      <c r="L38" s="3"/>
      <c r="M38" s="3">
        <v>27704644</v>
      </c>
      <c r="N38" s="3"/>
      <c r="O38" s="8">
        <f t="shared" si="1"/>
        <v>868745</v>
      </c>
      <c r="P38" s="3"/>
      <c r="Q38" s="3">
        <v>6945525</v>
      </c>
      <c r="R38" s="3"/>
      <c r="S38" s="3">
        <v>7814270</v>
      </c>
      <c r="T38" s="3"/>
      <c r="U38" s="3"/>
      <c r="V38" s="3"/>
      <c r="W38" s="3">
        <f>382155+3418</f>
        <v>385573</v>
      </c>
      <c r="X38" s="3"/>
      <c r="Y38" s="3">
        <v>0</v>
      </c>
      <c r="Z38" s="3"/>
      <c r="AA38" s="3">
        <v>19504801</v>
      </c>
      <c r="AB38" s="3"/>
      <c r="AC38" s="22">
        <f t="shared" si="2"/>
        <v>19890374</v>
      </c>
      <c r="AD38" s="16"/>
      <c r="AE38" s="3">
        <f t="shared" si="3"/>
        <v>0</v>
      </c>
    </row>
    <row r="39" spans="1:31" s="24" customFormat="1">
      <c r="A39" s="3" t="s">
        <v>294</v>
      </c>
      <c r="B39" s="16"/>
      <c r="C39" s="16" t="s">
        <v>207</v>
      </c>
      <c r="E39" s="16">
        <v>51391</v>
      </c>
      <c r="G39" s="3">
        <v>20058512</v>
      </c>
      <c r="H39" s="3"/>
      <c r="I39" s="3">
        <v>223362</v>
      </c>
      <c r="J39" s="3"/>
      <c r="K39" s="8">
        <f t="shared" si="0"/>
        <v>7259530</v>
      </c>
      <c r="L39" s="3"/>
      <c r="M39" s="3">
        <v>27541404</v>
      </c>
      <c r="N39" s="3"/>
      <c r="O39" s="8">
        <f t="shared" si="1"/>
        <v>873523</v>
      </c>
      <c r="P39" s="3"/>
      <c r="Q39" s="3">
        <v>5770028</v>
      </c>
      <c r="R39" s="3"/>
      <c r="S39" s="3">
        <v>6643551</v>
      </c>
      <c r="T39" s="3"/>
      <c r="U39" s="3"/>
      <c r="V39" s="3"/>
      <c r="W39" s="3">
        <f>5031639+1254808+223362</f>
        <v>6509809</v>
      </c>
      <c r="X39" s="3"/>
      <c r="Y39" s="3">
        <v>409334</v>
      </c>
      <c r="Z39" s="3"/>
      <c r="AA39" s="3">
        <v>13978710</v>
      </c>
      <c r="AB39" s="3"/>
      <c r="AC39" s="22">
        <f t="shared" si="2"/>
        <v>20897853</v>
      </c>
      <c r="AD39" s="16"/>
      <c r="AE39" s="3">
        <f t="shared" si="3"/>
        <v>0</v>
      </c>
    </row>
    <row r="40" spans="1:31" s="24" customFormat="1">
      <c r="A40" s="3" t="s">
        <v>252</v>
      </c>
      <c r="B40" s="16"/>
      <c r="C40" s="16" t="s">
        <v>193</v>
      </c>
      <c r="E40" s="16">
        <v>62109</v>
      </c>
      <c r="G40" s="3">
        <v>6865189</v>
      </c>
      <c r="H40" s="3"/>
      <c r="I40" s="3">
        <v>0</v>
      </c>
      <c r="J40" s="3"/>
      <c r="K40" s="8">
        <f t="shared" si="0"/>
        <v>7918387</v>
      </c>
      <c r="L40" s="3"/>
      <c r="M40" s="3">
        <v>14783576</v>
      </c>
      <c r="N40" s="3"/>
      <c r="O40" s="8">
        <f t="shared" si="1"/>
        <v>1474780</v>
      </c>
      <c r="P40" s="3"/>
      <c r="Q40" s="3">
        <v>6598515</v>
      </c>
      <c r="R40" s="3"/>
      <c r="S40" s="3">
        <v>8073295</v>
      </c>
      <c r="T40" s="3"/>
      <c r="U40" s="3"/>
      <c r="V40" s="3"/>
      <c r="W40" s="3">
        <f>236607+134706+1012807</f>
        <v>1384120</v>
      </c>
      <c r="X40" s="3"/>
      <c r="Y40" s="3">
        <v>0</v>
      </c>
      <c r="Z40" s="3"/>
      <c r="AA40" s="3">
        <v>5326161</v>
      </c>
      <c r="AB40" s="3"/>
      <c r="AC40" s="22">
        <f t="shared" si="2"/>
        <v>6710281</v>
      </c>
      <c r="AD40" s="16"/>
      <c r="AE40" s="3">
        <f t="shared" si="3"/>
        <v>0</v>
      </c>
    </row>
    <row r="41" spans="1:31" s="24" customFormat="1">
      <c r="A41" s="3" t="s">
        <v>295</v>
      </c>
      <c r="B41" s="16"/>
      <c r="C41" s="16" t="s">
        <v>199</v>
      </c>
      <c r="E41" s="16">
        <v>51284</v>
      </c>
      <c r="G41" s="3">
        <v>3392786</v>
      </c>
      <c r="H41" s="3"/>
      <c r="I41" s="3">
        <v>0</v>
      </c>
      <c r="J41" s="3"/>
      <c r="K41" s="8">
        <f t="shared" si="0"/>
        <v>11948243</v>
      </c>
      <c r="L41" s="3"/>
      <c r="M41" s="3">
        <v>15341029</v>
      </c>
      <c r="N41" s="3"/>
      <c r="O41" s="8">
        <f t="shared" si="1"/>
        <v>3019503</v>
      </c>
      <c r="P41" s="3"/>
      <c r="Q41" s="3">
        <v>10969846</v>
      </c>
      <c r="R41" s="3"/>
      <c r="S41" s="3">
        <v>13989349</v>
      </c>
      <c r="T41" s="3"/>
      <c r="U41" s="3"/>
      <c r="V41" s="3"/>
      <c r="W41" s="3">
        <f>895758+858727</f>
        <v>1754485</v>
      </c>
      <c r="X41" s="3"/>
      <c r="Y41" s="3">
        <v>0</v>
      </c>
      <c r="Z41" s="3"/>
      <c r="AA41" s="3">
        <v>-402805</v>
      </c>
      <c r="AB41" s="3"/>
      <c r="AC41" s="22">
        <f t="shared" si="2"/>
        <v>1351680</v>
      </c>
      <c r="AD41" s="16"/>
      <c r="AE41" s="3">
        <f t="shared" si="3"/>
        <v>0</v>
      </c>
    </row>
    <row r="42" spans="1:31" s="24" customFormat="1">
      <c r="A42" s="3" t="s">
        <v>296</v>
      </c>
      <c r="B42" s="16"/>
      <c r="C42" s="16" t="s">
        <v>201</v>
      </c>
      <c r="E42" s="16">
        <v>51300</v>
      </c>
      <c r="G42" s="3">
        <v>11063617</v>
      </c>
      <c r="H42" s="3"/>
      <c r="I42" s="3">
        <v>0</v>
      </c>
      <c r="J42" s="3"/>
      <c r="K42" s="8">
        <f t="shared" si="0"/>
        <v>6702191</v>
      </c>
      <c r="L42" s="3"/>
      <c r="M42" s="3">
        <v>17765808</v>
      </c>
      <c r="N42" s="3"/>
      <c r="O42" s="8">
        <f t="shared" si="1"/>
        <v>1320626</v>
      </c>
      <c r="P42" s="3"/>
      <c r="Q42" s="3">
        <v>6183188</v>
      </c>
      <c r="R42" s="3"/>
      <c r="S42" s="3">
        <v>7503814</v>
      </c>
      <c r="T42" s="3"/>
      <c r="U42" s="3"/>
      <c r="V42" s="3"/>
      <c r="W42" s="3">
        <f>88313+1987+45566+219393</f>
        <v>355259</v>
      </c>
      <c r="X42" s="3"/>
      <c r="Y42" s="3">
        <v>128102</v>
      </c>
      <c r="Z42" s="3"/>
      <c r="AA42" s="3">
        <v>9778633</v>
      </c>
      <c r="AB42" s="3"/>
      <c r="AC42" s="22">
        <f t="shared" si="2"/>
        <v>10261994</v>
      </c>
      <c r="AD42" s="16"/>
      <c r="AE42" s="3">
        <f t="shared" si="3"/>
        <v>0</v>
      </c>
    </row>
    <row r="43" spans="1:31">
      <c r="A43" s="3" t="s">
        <v>245</v>
      </c>
      <c r="B43" s="16"/>
      <c r="C43" s="16" t="s">
        <v>188</v>
      </c>
      <c r="E43" s="16">
        <v>51334</v>
      </c>
      <c r="G43" s="3">
        <v>7310080</v>
      </c>
      <c r="H43" s="3"/>
      <c r="I43" s="3">
        <v>34380</v>
      </c>
      <c r="J43" s="3"/>
      <c r="K43" s="8">
        <f t="shared" si="0"/>
        <v>5742916</v>
      </c>
      <c r="L43" s="3"/>
      <c r="M43" s="3">
        <v>13087376</v>
      </c>
      <c r="N43" s="3"/>
      <c r="O43" s="8">
        <f t="shared" si="1"/>
        <v>1066310</v>
      </c>
      <c r="P43" s="3"/>
      <c r="Q43" s="3">
        <v>4592993</v>
      </c>
      <c r="R43" s="3"/>
      <c r="S43" s="3">
        <v>5659303</v>
      </c>
      <c r="T43" s="3"/>
      <c r="U43" s="3"/>
      <c r="V43" s="3"/>
      <c r="W43" s="3">
        <f>508400+996022+34380</f>
        <v>1538802</v>
      </c>
      <c r="X43" s="3"/>
      <c r="Y43" s="3">
        <v>0</v>
      </c>
      <c r="Z43" s="3"/>
      <c r="AA43" s="3">
        <v>5889271</v>
      </c>
      <c r="AB43" s="3"/>
      <c r="AC43" s="22">
        <f t="shared" si="2"/>
        <v>7428073</v>
      </c>
      <c r="AD43" s="16"/>
      <c r="AE43" s="3">
        <f t="shared" si="3"/>
        <v>0</v>
      </c>
    </row>
    <row r="44" spans="1:31" s="24" customFormat="1">
      <c r="A44" s="3" t="s">
        <v>297</v>
      </c>
      <c r="B44" s="16"/>
      <c r="C44" s="16" t="s">
        <v>236</v>
      </c>
      <c r="E44" s="16">
        <v>51359</v>
      </c>
      <c r="G44" s="3">
        <v>4661157</v>
      </c>
      <c r="H44" s="3"/>
      <c r="I44" s="3">
        <v>0</v>
      </c>
      <c r="J44" s="3"/>
      <c r="K44" s="8">
        <f t="shared" si="0"/>
        <v>11756049</v>
      </c>
      <c r="L44" s="3"/>
      <c r="M44" s="3">
        <v>16417206</v>
      </c>
      <c r="N44" s="3"/>
      <c r="O44" s="8">
        <f t="shared" si="1"/>
        <v>13414373</v>
      </c>
      <c r="P44" s="3"/>
      <c r="Q44" s="3">
        <v>392011</v>
      </c>
      <c r="R44" s="3"/>
      <c r="S44" s="3">
        <v>13806384</v>
      </c>
      <c r="T44" s="3"/>
      <c r="U44" s="3">
        <v>0</v>
      </c>
      <c r="V44" s="3"/>
      <c r="W44" s="3">
        <f>212533+63530+1133888</f>
        <v>1409951</v>
      </c>
      <c r="X44" s="3"/>
      <c r="Y44" s="3">
        <v>0</v>
      </c>
      <c r="Z44" s="3"/>
      <c r="AA44" s="3">
        <v>1200871</v>
      </c>
      <c r="AB44" s="3"/>
      <c r="AC44" s="22">
        <f t="shared" si="2"/>
        <v>2610822</v>
      </c>
      <c r="AD44" s="16"/>
      <c r="AE44" s="3">
        <f t="shared" si="3"/>
        <v>0</v>
      </c>
    </row>
    <row r="45" spans="1:31" s="24" customFormat="1">
      <c r="A45" s="3" t="s">
        <v>298</v>
      </c>
      <c r="B45" s="16"/>
      <c r="C45" s="16" t="s">
        <v>214</v>
      </c>
      <c r="E45" s="16">
        <v>51433</v>
      </c>
      <c r="G45" s="3">
        <v>7149055</v>
      </c>
      <c r="H45" s="3"/>
      <c r="I45" s="3">
        <v>0</v>
      </c>
      <c r="J45" s="3"/>
      <c r="K45" s="8">
        <f t="shared" si="0"/>
        <v>4747781</v>
      </c>
      <c r="L45" s="3"/>
      <c r="M45" s="3">
        <v>11896836</v>
      </c>
      <c r="N45" s="3"/>
      <c r="O45" s="8">
        <f t="shared" si="1"/>
        <v>1527605</v>
      </c>
      <c r="P45" s="3"/>
      <c r="Q45" s="3">
        <v>3900418</v>
      </c>
      <c r="R45" s="3"/>
      <c r="S45" s="3">
        <v>5428023</v>
      </c>
      <c r="T45" s="3"/>
      <c r="U45" s="3">
        <v>0</v>
      </c>
      <c r="V45" s="3"/>
      <c r="W45" s="3">
        <f>194693+779102</f>
        <v>973795</v>
      </c>
      <c r="X45" s="3"/>
      <c r="Y45" s="3">
        <v>0</v>
      </c>
      <c r="Z45" s="3"/>
      <c r="AA45" s="3">
        <v>5495018</v>
      </c>
      <c r="AB45" s="3"/>
      <c r="AC45" s="22">
        <f t="shared" si="2"/>
        <v>6468813</v>
      </c>
      <c r="AD45" s="16"/>
      <c r="AE45" s="3">
        <f t="shared" si="3"/>
        <v>0</v>
      </c>
    </row>
    <row r="46" spans="1:31" s="24" customFormat="1">
      <c r="A46" s="3" t="s">
        <v>299</v>
      </c>
      <c r="B46" s="16"/>
      <c r="C46" s="16" t="s">
        <v>254</v>
      </c>
      <c r="E46" s="16">
        <v>51375</v>
      </c>
      <c r="G46" s="3">
        <v>4251758</v>
      </c>
      <c r="H46" s="3"/>
      <c r="I46" s="3">
        <v>23547</v>
      </c>
      <c r="J46" s="3"/>
      <c r="K46" s="8">
        <f t="shared" si="0"/>
        <v>1714801</v>
      </c>
      <c r="L46" s="3"/>
      <c r="M46" s="3">
        <v>5990106</v>
      </c>
      <c r="N46" s="3"/>
      <c r="O46" s="8">
        <f t="shared" si="1"/>
        <v>575310</v>
      </c>
      <c r="P46" s="3"/>
      <c r="Q46" s="3">
        <v>1046094</v>
      </c>
      <c r="R46" s="3"/>
      <c r="S46" s="3">
        <v>1621404</v>
      </c>
      <c r="T46" s="3"/>
      <c r="U46" s="3">
        <v>0</v>
      </c>
      <c r="V46" s="3"/>
      <c r="W46" s="3">
        <f>4368702-4257060</f>
        <v>111642</v>
      </c>
      <c r="X46" s="3"/>
      <c r="Y46" s="3">
        <v>0</v>
      </c>
      <c r="Z46" s="3"/>
      <c r="AA46" s="3">
        <v>4257060</v>
      </c>
      <c r="AB46" s="3"/>
      <c r="AC46" s="22">
        <f t="shared" si="2"/>
        <v>4368702</v>
      </c>
      <c r="AD46" s="16"/>
      <c r="AE46" s="3">
        <f t="shared" si="3"/>
        <v>0</v>
      </c>
    </row>
    <row r="47" spans="1:31" s="24" customFormat="1">
      <c r="A47" s="3" t="s">
        <v>300</v>
      </c>
      <c r="B47" s="16"/>
      <c r="C47" s="16" t="s">
        <v>212</v>
      </c>
      <c r="E47" s="16">
        <v>51417</v>
      </c>
      <c r="G47" s="3">
        <v>10720771</v>
      </c>
      <c r="H47" s="3"/>
      <c r="I47" s="3">
        <v>0</v>
      </c>
      <c r="J47" s="3"/>
      <c r="K47" s="8">
        <f t="shared" si="0"/>
        <v>4949300</v>
      </c>
      <c r="L47" s="3"/>
      <c r="M47" s="3">
        <v>15670071</v>
      </c>
      <c r="N47" s="3"/>
      <c r="O47" s="8">
        <f t="shared" si="1"/>
        <v>4451556</v>
      </c>
      <c r="P47" s="3"/>
      <c r="Q47" s="3">
        <v>607451</v>
      </c>
      <c r="R47" s="3"/>
      <c r="S47" s="3">
        <v>5059007</v>
      </c>
      <c r="T47" s="3"/>
      <c r="U47" s="3">
        <v>0</v>
      </c>
      <c r="V47" s="3"/>
      <c r="W47" s="3">
        <f>10611064-9387807</f>
        <v>1223257</v>
      </c>
      <c r="X47" s="3"/>
      <c r="Y47" s="3">
        <v>0</v>
      </c>
      <c r="Z47" s="3"/>
      <c r="AA47" s="3">
        <v>9387807</v>
      </c>
      <c r="AB47" s="3"/>
      <c r="AC47" s="22">
        <f t="shared" si="2"/>
        <v>10611064</v>
      </c>
      <c r="AD47" s="16"/>
      <c r="AE47" s="3">
        <f t="shared" si="3"/>
        <v>0</v>
      </c>
    </row>
    <row r="48" spans="1:31" s="24" customFormat="1">
      <c r="A48" s="3" t="s">
        <v>301</v>
      </c>
      <c r="B48" s="16"/>
      <c r="C48" s="16" t="s">
        <v>167</v>
      </c>
      <c r="E48" s="16">
        <v>50948</v>
      </c>
      <c r="G48" s="3">
        <v>7461671</v>
      </c>
      <c r="H48" s="3"/>
      <c r="I48" s="3">
        <v>241244</v>
      </c>
      <c r="J48" s="3"/>
      <c r="K48" s="8">
        <f t="shared" si="0"/>
        <v>9547663</v>
      </c>
      <c r="L48" s="3"/>
      <c r="M48" s="3">
        <v>17250578</v>
      </c>
      <c r="N48" s="3"/>
      <c r="O48" s="8">
        <f t="shared" si="1"/>
        <v>1527704</v>
      </c>
      <c r="P48" s="3"/>
      <c r="Q48" s="3">
        <v>8034575</v>
      </c>
      <c r="R48" s="3"/>
      <c r="S48" s="3">
        <v>9562279</v>
      </c>
      <c r="T48" s="3"/>
      <c r="U48" s="3">
        <v>0</v>
      </c>
      <c r="V48" s="3"/>
      <c r="W48" s="3">
        <f>7688299-5382891</f>
        <v>2305408</v>
      </c>
      <c r="X48" s="3"/>
      <c r="Y48" s="3">
        <v>0</v>
      </c>
      <c r="Z48" s="3"/>
      <c r="AA48" s="3">
        <v>5382891</v>
      </c>
      <c r="AB48" s="3"/>
      <c r="AC48" s="22">
        <f t="shared" si="2"/>
        <v>7688299</v>
      </c>
      <c r="AD48" s="16"/>
      <c r="AE48" s="3">
        <f t="shared" si="3"/>
        <v>0</v>
      </c>
    </row>
    <row r="49" spans="1:31" s="24" customFormat="1">
      <c r="A49" s="3" t="s">
        <v>302</v>
      </c>
      <c r="B49" s="16"/>
      <c r="C49" s="16" t="s">
        <v>223</v>
      </c>
      <c r="E49" s="16">
        <v>63495</v>
      </c>
      <c r="G49" s="3">
        <v>10658133</v>
      </c>
      <c r="H49" s="3"/>
      <c r="I49" s="3">
        <v>38707</v>
      </c>
      <c r="J49" s="3"/>
      <c r="K49" s="8">
        <f t="shared" si="0"/>
        <v>3166615</v>
      </c>
      <c r="L49" s="3"/>
      <c r="M49" s="3">
        <v>13863455</v>
      </c>
      <c r="N49" s="3"/>
      <c r="O49" s="8">
        <f t="shared" si="1"/>
        <v>1093104</v>
      </c>
      <c r="P49" s="3"/>
      <c r="Q49" s="3">
        <v>2755875</v>
      </c>
      <c r="R49" s="3"/>
      <c r="S49" s="3">
        <v>3848979</v>
      </c>
      <c r="T49" s="3"/>
      <c r="U49" s="3">
        <v>0</v>
      </c>
      <c r="V49" s="3"/>
      <c r="W49" s="3">
        <f>135497+306976+38707</f>
        <v>481180</v>
      </c>
      <c r="X49" s="3"/>
      <c r="Y49" s="3">
        <v>146413</v>
      </c>
      <c r="Z49" s="3"/>
      <c r="AA49" s="3">
        <v>9386883</v>
      </c>
      <c r="AB49" s="3"/>
      <c r="AC49" s="22">
        <f t="shared" si="2"/>
        <v>10014476</v>
      </c>
      <c r="AD49" s="16"/>
      <c r="AE49" s="3">
        <f t="shared" si="3"/>
        <v>0</v>
      </c>
    </row>
    <row r="50" spans="1:31" s="24" customFormat="1">
      <c r="A50" s="3" t="s">
        <v>303</v>
      </c>
      <c r="B50" s="16"/>
      <c r="C50" s="16" t="s">
        <v>217</v>
      </c>
      <c r="E50" s="16">
        <v>51490</v>
      </c>
      <c r="G50" s="3">
        <v>2994485</v>
      </c>
      <c r="H50" s="3"/>
      <c r="I50" s="3">
        <v>0</v>
      </c>
      <c r="J50" s="3"/>
      <c r="K50" s="8">
        <f t="shared" si="0"/>
        <v>2172868</v>
      </c>
      <c r="L50" s="3"/>
      <c r="M50" s="3">
        <v>5167353</v>
      </c>
      <c r="N50" s="3"/>
      <c r="O50" s="8">
        <f t="shared" si="1"/>
        <v>790121</v>
      </c>
      <c r="P50" s="3"/>
      <c r="Q50" s="3">
        <v>1915926</v>
      </c>
      <c r="R50" s="3"/>
      <c r="S50" s="3">
        <v>2706047</v>
      </c>
      <c r="T50" s="3"/>
      <c r="U50" s="3">
        <v>0</v>
      </c>
      <c r="V50" s="3"/>
      <c r="W50" s="3">
        <f>26818+158398</f>
        <v>185216</v>
      </c>
      <c r="X50" s="3"/>
      <c r="Y50" s="3">
        <v>0</v>
      </c>
      <c r="Z50" s="3"/>
      <c r="AA50" s="3">
        <v>2276090</v>
      </c>
      <c r="AB50" s="3"/>
      <c r="AC50" s="22">
        <f t="shared" si="2"/>
        <v>2461306</v>
      </c>
      <c r="AD50" s="16"/>
      <c r="AE50" s="3">
        <f t="shared" si="3"/>
        <v>0</v>
      </c>
    </row>
    <row r="51" spans="1:31" s="24" customFormat="1">
      <c r="A51" s="3" t="s">
        <v>238</v>
      </c>
      <c r="B51" s="16"/>
      <c r="C51" s="16" t="s">
        <v>158</v>
      </c>
      <c r="E51" s="16">
        <v>50799</v>
      </c>
      <c r="G51" s="3">
        <v>2834714</v>
      </c>
      <c r="H51" s="3"/>
      <c r="I51" s="3">
        <v>20297</v>
      </c>
      <c r="J51" s="3"/>
      <c r="K51" s="8">
        <f t="shared" si="0"/>
        <v>2155980</v>
      </c>
      <c r="L51" s="3"/>
      <c r="M51" s="3">
        <v>5010991</v>
      </c>
      <c r="N51" s="3"/>
      <c r="O51" s="8">
        <f t="shared" si="1"/>
        <v>539614</v>
      </c>
      <c r="P51" s="3"/>
      <c r="Q51" s="3">
        <v>1574148</v>
      </c>
      <c r="R51" s="3"/>
      <c r="S51" s="3">
        <v>2113762</v>
      </c>
      <c r="T51" s="3"/>
      <c r="U51" s="3">
        <v>0</v>
      </c>
      <c r="V51" s="3"/>
      <c r="W51" s="3">
        <f>2897229-2328656</f>
        <v>568573</v>
      </c>
      <c r="X51" s="3"/>
      <c r="Y51" s="3">
        <v>0</v>
      </c>
      <c r="Z51" s="3"/>
      <c r="AA51" s="3">
        <v>2328656</v>
      </c>
      <c r="AB51" s="3"/>
      <c r="AC51" s="22">
        <f t="shared" si="2"/>
        <v>2897229</v>
      </c>
      <c r="AD51" s="16"/>
      <c r="AE51" s="3">
        <f t="shared" si="3"/>
        <v>0</v>
      </c>
    </row>
    <row r="52" spans="1:31" s="24" customFormat="1">
      <c r="A52" s="3" t="s">
        <v>336</v>
      </c>
      <c r="B52" s="16"/>
      <c r="C52" s="16" t="s">
        <v>161</v>
      </c>
      <c r="E52" s="16">
        <v>51532</v>
      </c>
      <c r="G52" s="3">
        <v>6720630</v>
      </c>
      <c r="H52" s="3"/>
      <c r="I52" s="3">
        <v>0</v>
      </c>
      <c r="J52" s="3"/>
      <c r="K52" s="8">
        <f t="shared" si="0"/>
        <v>5845154</v>
      </c>
      <c r="L52" s="3"/>
      <c r="M52" s="3">
        <v>12565784</v>
      </c>
      <c r="N52" s="3"/>
      <c r="O52" s="8">
        <f t="shared" si="1"/>
        <v>857876</v>
      </c>
      <c r="P52" s="3"/>
      <c r="Q52" s="3">
        <v>4387900</v>
      </c>
      <c r="R52" s="3"/>
      <c r="S52" s="3">
        <v>5245776</v>
      </c>
      <c r="T52" s="3"/>
      <c r="U52" s="3">
        <v>0</v>
      </c>
      <c r="V52" s="3"/>
      <c r="W52" s="3">
        <f>7320008-5806535</f>
        <v>1513473</v>
      </c>
      <c r="X52" s="3"/>
      <c r="Y52" s="3">
        <v>0</v>
      </c>
      <c r="Z52" s="3"/>
      <c r="AA52" s="3">
        <v>5806535</v>
      </c>
      <c r="AB52" s="3"/>
      <c r="AC52" s="22">
        <f t="shared" si="2"/>
        <v>7320008</v>
      </c>
      <c r="AD52" s="16"/>
      <c r="AE52" s="3">
        <f t="shared" si="3"/>
        <v>0</v>
      </c>
    </row>
    <row r="53" spans="1:31" s="24" customFormat="1">
      <c r="A53" s="3" t="s">
        <v>255</v>
      </c>
      <c r="B53" s="16"/>
      <c r="C53" s="16" t="s">
        <v>221</v>
      </c>
      <c r="E53" s="16">
        <v>62026</v>
      </c>
      <c r="G53" s="3">
        <v>10238280</v>
      </c>
      <c r="H53" s="3"/>
      <c r="I53" s="3">
        <v>0</v>
      </c>
      <c r="J53" s="3"/>
      <c r="K53" s="8">
        <f t="shared" si="0"/>
        <v>2456082</v>
      </c>
      <c r="L53" s="3"/>
      <c r="M53" s="3">
        <v>12694362</v>
      </c>
      <c r="N53" s="3"/>
      <c r="O53" s="8">
        <f t="shared" si="1"/>
        <v>3018137</v>
      </c>
      <c r="P53" s="3"/>
      <c r="Q53" s="3">
        <v>151923</v>
      </c>
      <c r="R53" s="3"/>
      <c r="S53" s="3">
        <v>3170060</v>
      </c>
      <c r="T53" s="3"/>
      <c r="U53" s="3">
        <v>0</v>
      </c>
      <c r="V53" s="3"/>
      <c r="W53" s="3">
        <f>9524302-9158120</f>
        <v>366182</v>
      </c>
      <c r="X53" s="3"/>
      <c r="Y53" s="3">
        <v>0</v>
      </c>
      <c r="Z53" s="3"/>
      <c r="AA53" s="3">
        <v>9158120</v>
      </c>
      <c r="AB53" s="3"/>
      <c r="AC53" s="22">
        <f t="shared" si="2"/>
        <v>9524302</v>
      </c>
      <c r="AD53" s="16"/>
      <c r="AE53" s="3">
        <f t="shared" si="3"/>
        <v>0</v>
      </c>
    </row>
    <row r="54" spans="1:31" s="24" customFormat="1">
      <c r="A54" s="3" t="s">
        <v>341</v>
      </c>
      <c r="B54" s="16"/>
      <c r="C54" s="16" t="s">
        <v>248</v>
      </c>
      <c r="E54" s="16"/>
      <c r="G54" s="3">
        <v>5429052</v>
      </c>
      <c r="H54" s="3"/>
      <c r="I54" s="3">
        <v>0</v>
      </c>
      <c r="J54" s="3"/>
      <c r="K54" s="8">
        <f t="shared" si="0"/>
        <v>8454699</v>
      </c>
      <c r="L54" s="3"/>
      <c r="M54" s="3">
        <v>13883751</v>
      </c>
      <c r="N54" s="3"/>
      <c r="O54" s="8">
        <f t="shared" si="1"/>
        <v>1071062</v>
      </c>
      <c r="P54" s="3"/>
      <c r="Q54" s="3">
        <v>5281455</v>
      </c>
      <c r="R54" s="3"/>
      <c r="S54" s="3">
        <v>6352517</v>
      </c>
      <c r="T54" s="3"/>
      <c r="U54" s="3">
        <v>0</v>
      </c>
      <c r="V54" s="3"/>
      <c r="W54" s="3">
        <f>99940+77719+2886515</f>
        <v>3064174</v>
      </c>
      <c r="X54" s="3"/>
      <c r="Y54" s="3">
        <v>0</v>
      </c>
      <c r="Z54" s="3"/>
      <c r="AA54" s="3">
        <v>4467060</v>
      </c>
      <c r="AB54" s="3"/>
      <c r="AC54" s="22">
        <f t="shared" si="2"/>
        <v>7531234</v>
      </c>
      <c r="AD54" s="16"/>
      <c r="AE54" s="3">
        <f t="shared" si="3"/>
        <v>0</v>
      </c>
    </row>
    <row r="55" spans="1:31" s="24" customFormat="1">
      <c r="A55" s="3" t="s">
        <v>388</v>
      </c>
      <c r="B55" s="16"/>
      <c r="C55" s="16" t="s">
        <v>153</v>
      </c>
      <c r="E55" s="16">
        <v>51607</v>
      </c>
      <c r="G55" s="3">
        <v>2329063</v>
      </c>
      <c r="H55" s="3"/>
      <c r="I55" s="3">
        <v>0</v>
      </c>
      <c r="J55" s="3"/>
      <c r="K55" s="8">
        <f t="shared" si="0"/>
        <v>3819182</v>
      </c>
      <c r="L55" s="3"/>
      <c r="M55" s="3">
        <v>6148245</v>
      </c>
      <c r="N55" s="3"/>
      <c r="O55" s="8">
        <f t="shared" si="1"/>
        <v>634663</v>
      </c>
      <c r="P55" s="3"/>
      <c r="Q55" s="3">
        <v>3317840</v>
      </c>
      <c r="R55" s="3"/>
      <c r="S55" s="3">
        <v>3952503</v>
      </c>
      <c r="T55" s="3"/>
      <c r="U55" s="3">
        <v>0</v>
      </c>
      <c r="V55" s="3"/>
      <c r="W55" s="3">
        <f>2195742-1692070</f>
        <v>503672</v>
      </c>
      <c r="X55" s="3"/>
      <c r="Y55" s="3">
        <v>0</v>
      </c>
      <c r="Z55" s="3"/>
      <c r="AA55" s="3">
        <v>1692070</v>
      </c>
      <c r="AB55" s="3"/>
      <c r="AC55" s="22">
        <f t="shared" si="2"/>
        <v>2195742</v>
      </c>
      <c r="AD55" s="16"/>
      <c r="AE55" s="3">
        <f t="shared" si="3"/>
        <v>0</v>
      </c>
    </row>
    <row r="56" spans="1:31" s="24" customFormat="1">
      <c r="A56" s="3" t="s">
        <v>250</v>
      </c>
      <c r="B56" s="16"/>
      <c r="C56" s="16" t="s">
        <v>251</v>
      </c>
      <c r="E56" s="16">
        <v>65268</v>
      </c>
      <c r="G56" s="3">
        <v>2713876</v>
      </c>
      <c r="H56" s="3"/>
      <c r="I56" s="3">
        <v>0</v>
      </c>
      <c r="J56" s="3"/>
      <c r="K56" s="8">
        <f t="shared" si="0"/>
        <v>4232870</v>
      </c>
      <c r="L56" s="3"/>
      <c r="M56" s="3">
        <v>6946746</v>
      </c>
      <c r="N56" s="3"/>
      <c r="O56" s="8">
        <f t="shared" si="1"/>
        <v>800495</v>
      </c>
      <c r="P56" s="3"/>
      <c r="Q56" s="3">
        <v>2886266</v>
      </c>
      <c r="R56" s="3"/>
      <c r="S56" s="3">
        <v>3686761</v>
      </c>
      <c r="T56" s="3"/>
      <c r="U56" s="3">
        <v>0</v>
      </c>
      <c r="V56" s="3"/>
      <c r="W56" s="3">
        <f>50938+103867</f>
        <v>154805</v>
      </c>
      <c r="X56" s="3"/>
      <c r="Y56" s="3">
        <v>0</v>
      </c>
      <c r="Z56" s="3"/>
      <c r="AA56" s="3">
        <v>3105180</v>
      </c>
      <c r="AB56" s="3"/>
      <c r="AC56" s="22">
        <f t="shared" si="2"/>
        <v>3259985</v>
      </c>
      <c r="AD56" s="16"/>
      <c r="AE56" s="3">
        <f t="shared" si="3"/>
        <v>0</v>
      </c>
    </row>
    <row r="57" spans="1:31" s="24" customFormat="1">
      <c r="A57" s="3" t="s">
        <v>304</v>
      </c>
      <c r="B57" s="16"/>
      <c r="C57" s="16" t="s">
        <v>225</v>
      </c>
      <c r="E57" s="16">
        <v>51631</v>
      </c>
      <c r="G57" s="3">
        <v>10110268</v>
      </c>
      <c r="H57" s="3"/>
      <c r="I57" s="3">
        <v>0</v>
      </c>
      <c r="J57" s="3"/>
      <c r="K57" s="8">
        <f t="shared" si="0"/>
        <v>6635659</v>
      </c>
      <c r="L57" s="3"/>
      <c r="M57" s="3">
        <v>16745927</v>
      </c>
      <c r="N57" s="3"/>
      <c r="O57" s="8">
        <f t="shared" si="1"/>
        <v>6363565</v>
      </c>
      <c r="P57" s="3"/>
      <c r="Q57" s="3">
        <v>1480936</v>
      </c>
      <c r="R57" s="3"/>
      <c r="S57" s="3">
        <v>7844501</v>
      </c>
      <c r="T57" s="3"/>
      <c r="U57" s="3">
        <v>0</v>
      </c>
      <c r="V57" s="3"/>
      <c r="W57" s="3">
        <f>8901426-8768383</f>
        <v>133043</v>
      </c>
      <c r="X57" s="3"/>
      <c r="Y57" s="3">
        <v>0</v>
      </c>
      <c r="Z57" s="3"/>
      <c r="AA57" s="3">
        <v>8768383</v>
      </c>
      <c r="AB57" s="3"/>
      <c r="AC57" s="22">
        <f t="shared" si="2"/>
        <v>8901426</v>
      </c>
      <c r="AD57" s="16"/>
      <c r="AE57" s="3">
        <f t="shared" si="3"/>
        <v>0</v>
      </c>
    </row>
    <row r="58" spans="1:31" s="24" customFormat="1">
      <c r="A58" s="3" t="s">
        <v>239</v>
      </c>
      <c r="B58" s="16"/>
      <c r="C58" s="16" t="s">
        <v>163</v>
      </c>
      <c r="E58" s="16">
        <v>62802</v>
      </c>
      <c r="G58" s="3">
        <v>8032995</v>
      </c>
      <c r="H58" s="3"/>
      <c r="I58" s="3">
        <v>24056</v>
      </c>
      <c r="J58" s="3"/>
      <c r="K58" s="8">
        <f t="shared" si="0"/>
        <v>3410775</v>
      </c>
      <c r="L58" s="3"/>
      <c r="M58" s="3">
        <v>11467826</v>
      </c>
      <c r="N58" s="3"/>
      <c r="O58" s="8">
        <f t="shared" si="1"/>
        <v>531138</v>
      </c>
      <c r="P58" s="3"/>
      <c r="Q58" s="3">
        <v>3187975</v>
      </c>
      <c r="R58" s="3"/>
      <c r="S58" s="3">
        <v>3719113</v>
      </c>
      <c r="T58" s="3"/>
      <c r="U58" s="3">
        <v>0</v>
      </c>
      <c r="V58" s="3"/>
      <c r="W58" s="3">
        <f>7748713-7454901</f>
        <v>293812</v>
      </c>
      <c r="X58" s="3"/>
      <c r="Y58" s="3">
        <v>0</v>
      </c>
      <c r="Z58" s="3"/>
      <c r="AA58" s="3">
        <v>7454901</v>
      </c>
      <c r="AB58" s="3"/>
      <c r="AC58" s="22">
        <f t="shared" si="2"/>
        <v>7748713</v>
      </c>
      <c r="AD58" s="16"/>
      <c r="AE58" s="3">
        <f t="shared" si="3"/>
        <v>0</v>
      </c>
    </row>
    <row r="59" spans="1:31" s="24" customFormat="1">
      <c r="A59" s="3" t="s">
        <v>253</v>
      </c>
      <c r="B59" s="16"/>
      <c r="C59" s="16" t="s">
        <v>197</v>
      </c>
      <c r="E59" s="16">
        <v>62125</v>
      </c>
      <c r="G59" s="3">
        <v>4907910</v>
      </c>
      <c r="H59" s="3"/>
      <c r="I59" s="3">
        <v>36831</v>
      </c>
      <c r="J59" s="3"/>
      <c r="K59" s="8">
        <f t="shared" si="0"/>
        <v>5908986</v>
      </c>
      <c r="L59" s="3"/>
      <c r="M59" s="3">
        <v>10853727</v>
      </c>
      <c r="N59" s="3"/>
      <c r="O59" s="8">
        <f t="shared" si="1"/>
        <v>1673049</v>
      </c>
      <c r="P59" s="3"/>
      <c r="Q59" s="3">
        <v>5101153</v>
      </c>
      <c r="R59" s="3"/>
      <c r="S59" s="3">
        <v>6774202</v>
      </c>
      <c r="T59" s="3"/>
      <c r="U59" s="3">
        <v>0</v>
      </c>
      <c r="V59" s="3"/>
      <c r="W59" s="3">
        <f>4079525-2383458</f>
        <v>1696067</v>
      </c>
      <c r="X59" s="3"/>
      <c r="Y59" s="3">
        <v>0</v>
      </c>
      <c r="Z59" s="3"/>
      <c r="AA59" s="3">
        <v>2383458</v>
      </c>
      <c r="AB59" s="3"/>
      <c r="AC59" s="22">
        <f t="shared" si="2"/>
        <v>4079525</v>
      </c>
      <c r="AD59" s="16"/>
      <c r="AE59" s="3">
        <f t="shared" si="3"/>
        <v>0</v>
      </c>
    </row>
    <row r="60" spans="1:31" s="24" customFormat="1">
      <c r="A60" s="3" t="s">
        <v>305</v>
      </c>
      <c r="B60" s="16"/>
      <c r="C60" s="16" t="s">
        <v>216</v>
      </c>
      <c r="E60" s="16">
        <v>51458</v>
      </c>
      <c r="G60" s="3">
        <f>4697086+431</f>
        <v>4697517</v>
      </c>
      <c r="H60" s="3"/>
      <c r="I60" s="3">
        <v>55852</v>
      </c>
      <c r="J60" s="3"/>
      <c r="K60" s="8">
        <f t="shared" si="0"/>
        <v>4710464</v>
      </c>
      <c r="L60" s="3"/>
      <c r="M60" s="3">
        <v>9463833</v>
      </c>
      <c r="N60" s="3"/>
      <c r="O60" s="8">
        <f t="shared" si="1"/>
        <v>1251659</v>
      </c>
      <c r="P60" s="3"/>
      <c r="Q60" s="3">
        <v>3054062</v>
      </c>
      <c r="R60" s="3"/>
      <c r="S60" s="3">
        <v>4305721</v>
      </c>
      <c r="T60" s="3"/>
      <c r="U60" s="3">
        <v>0</v>
      </c>
      <c r="V60" s="3"/>
      <c r="W60" s="3">
        <f>368540+1135859+55852</f>
        <v>1560251</v>
      </c>
      <c r="X60" s="3"/>
      <c r="Y60" s="3">
        <v>560058</v>
      </c>
      <c r="Z60" s="3"/>
      <c r="AA60" s="3">
        <v>3037803</v>
      </c>
      <c r="AB60" s="3"/>
      <c r="AC60" s="22">
        <f t="shared" si="2"/>
        <v>5158112</v>
      </c>
      <c r="AD60" s="16"/>
      <c r="AE60" s="3">
        <f t="shared" si="3"/>
        <v>0</v>
      </c>
    </row>
    <row r="61" spans="1:31" s="24" customFormat="1">
      <c r="A61" s="3" t="s">
        <v>306</v>
      </c>
      <c r="B61" s="16"/>
      <c r="C61" s="16" t="s">
        <v>229</v>
      </c>
      <c r="E61" s="16">
        <v>51672</v>
      </c>
      <c r="G61" s="3">
        <v>2791165</v>
      </c>
      <c r="H61" s="3"/>
      <c r="I61" s="3">
        <v>0</v>
      </c>
      <c r="J61" s="3"/>
      <c r="K61" s="8">
        <f t="shared" si="0"/>
        <v>2933247</v>
      </c>
      <c r="L61" s="3"/>
      <c r="M61" s="3">
        <v>5724412</v>
      </c>
      <c r="N61" s="3"/>
      <c r="O61" s="8">
        <f t="shared" si="1"/>
        <v>3189367</v>
      </c>
      <c r="P61" s="3"/>
      <c r="Q61" s="3">
        <v>247917</v>
      </c>
      <c r="R61" s="3"/>
      <c r="S61" s="3">
        <v>3437284</v>
      </c>
      <c r="T61" s="3"/>
      <c r="U61" s="3">
        <v>0</v>
      </c>
      <c r="V61" s="3"/>
      <c r="W61" s="3">
        <f>2287128-1910265</f>
        <v>376863</v>
      </c>
      <c r="X61" s="3"/>
      <c r="Y61" s="3">
        <v>0</v>
      </c>
      <c r="Z61" s="3"/>
      <c r="AA61" s="3">
        <v>1910265</v>
      </c>
      <c r="AB61" s="3"/>
      <c r="AC61" s="22">
        <f t="shared" si="2"/>
        <v>2287128</v>
      </c>
      <c r="AD61" s="16"/>
      <c r="AE61" s="3">
        <f>+G61+I61+K61-O61-Q61-AA61-Y61-U61-W61</f>
        <v>0</v>
      </c>
    </row>
    <row r="62" spans="1:31" s="24" customFormat="1">
      <c r="A62" s="3" t="s">
        <v>257</v>
      </c>
      <c r="B62" s="16"/>
      <c r="C62" s="16" t="s">
        <v>231</v>
      </c>
      <c r="E62" s="16">
        <v>51474</v>
      </c>
      <c r="G62" s="3">
        <v>10557638</v>
      </c>
      <c r="H62" s="3"/>
      <c r="I62" s="3">
        <v>0</v>
      </c>
      <c r="J62" s="3"/>
      <c r="K62" s="8">
        <f t="shared" si="0"/>
        <v>8996092</v>
      </c>
      <c r="L62" s="3"/>
      <c r="M62" s="3">
        <v>19553730</v>
      </c>
      <c r="N62" s="3"/>
      <c r="O62" s="8">
        <f t="shared" si="1"/>
        <v>1029791</v>
      </c>
      <c r="P62" s="3"/>
      <c r="Q62" s="3">
        <v>8465059</v>
      </c>
      <c r="R62" s="3"/>
      <c r="S62" s="3">
        <v>9494850</v>
      </c>
      <c r="T62" s="3"/>
      <c r="U62" s="3">
        <v>0</v>
      </c>
      <c r="V62" s="3"/>
      <c r="W62" s="3">
        <f>87352+79121</f>
        <v>166473</v>
      </c>
      <c r="X62" s="3"/>
      <c r="Y62" s="3">
        <v>0</v>
      </c>
      <c r="Z62" s="3"/>
      <c r="AA62" s="3">
        <v>9892407</v>
      </c>
      <c r="AB62" s="3"/>
      <c r="AC62" s="22">
        <f t="shared" si="2"/>
        <v>10058880</v>
      </c>
      <c r="AD62" s="16"/>
      <c r="AE62" s="3">
        <f>+G62+I62+K62-O62-Q62-AA62-Y62-U62-W62</f>
        <v>0</v>
      </c>
    </row>
    <row r="63" spans="1:31" s="24" customFormat="1">
      <c r="A63" s="3" t="s">
        <v>325</v>
      </c>
      <c r="B63" s="16"/>
      <c r="C63" s="16" t="s">
        <v>232</v>
      </c>
      <c r="E63" s="16">
        <v>51698</v>
      </c>
      <c r="G63" s="3">
        <v>2834601</v>
      </c>
      <c r="H63" s="3"/>
      <c r="I63" s="3">
        <f>117554+212292</f>
        <v>329846</v>
      </c>
      <c r="J63" s="3"/>
      <c r="K63" s="8">
        <f t="shared" si="0"/>
        <v>2168891</v>
      </c>
      <c r="L63" s="3"/>
      <c r="M63" s="3">
        <v>5333338</v>
      </c>
      <c r="N63" s="3"/>
      <c r="O63" s="8">
        <f t="shared" si="1"/>
        <v>463729</v>
      </c>
      <c r="P63" s="3"/>
      <c r="Q63" s="3">
        <v>1991287</v>
      </c>
      <c r="R63" s="3"/>
      <c r="S63" s="3">
        <v>2455016</v>
      </c>
      <c r="T63" s="3"/>
      <c r="U63" s="3">
        <v>0</v>
      </c>
      <c r="V63" s="3"/>
      <c r="W63" s="3">
        <f>2878322-2455044-69251</f>
        <v>354027</v>
      </c>
      <c r="X63" s="3"/>
      <c r="Y63" s="3">
        <v>69251</v>
      </c>
      <c r="Z63" s="3"/>
      <c r="AA63" s="3">
        <v>2455044</v>
      </c>
      <c r="AB63" s="3"/>
      <c r="AC63" s="22">
        <f t="shared" si="2"/>
        <v>2878322</v>
      </c>
      <c r="AD63" s="16"/>
      <c r="AE63" s="3">
        <f t="shared" si="3"/>
        <v>0</v>
      </c>
    </row>
    <row r="64" spans="1:31" s="24" customFormat="1">
      <c r="A64" s="3" t="s">
        <v>307</v>
      </c>
      <c r="B64" s="16"/>
      <c r="C64" s="16" t="s">
        <v>234</v>
      </c>
      <c r="E64" s="16">
        <v>51714</v>
      </c>
      <c r="G64" s="3">
        <v>5084942</v>
      </c>
      <c r="H64" s="3"/>
      <c r="I64" s="3">
        <v>0</v>
      </c>
      <c r="J64" s="3"/>
      <c r="K64" s="8">
        <f t="shared" si="0"/>
        <v>4304602</v>
      </c>
      <c r="L64" s="3"/>
      <c r="M64" s="3">
        <v>9389544</v>
      </c>
      <c r="N64" s="3"/>
      <c r="O64" s="8">
        <f t="shared" si="1"/>
        <v>1070322</v>
      </c>
      <c r="P64" s="3"/>
      <c r="Q64" s="3">
        <v>3888434</v>
      </c>
      <c r="R64" s="3"/>
      <c r="S64" s="3">
        <v>4958756</v>
      </c>
      <c r="T64" s="3"/>
      <c r="U64" s="3">
        <v>0</v>
      </c>
      <c r="V64" s="3"/>
      <c r="W64" s="3">
        <f>397780+291616</f>
        <v>689396</v>
      </c>
      <c r="X64" s="3"/>
      <c r="Y64" s="3">
        <v>0</v>
      </c>
      <c r="Z64" s="3"/>
      <c r="AA64" s="3">
        <v>3741392</v>
      </c>
      <c r="AB64" s="3"/>
      <c r="AC64" s="22">
        <f t="shared" si="2"/>
        <v>4430788</v>
      </c>
      <c r="AD64" s="16"/>
      <c r="AE64" s="3">
        <f t="shared" si="3"/>
        <v>0</v>
      </c>
    </row>
    <row r="65" spans="1:31">
      <c r="A65" s="3"/>
      <c r="B65" s="16"/>
      <c r="C65" s="16"/>
      <c r="E65" s="16"/>
      <c r="G65" s="3"/>
      <c r="H65" s="3"/>
      <c r="I65" s="3"/>
      <c r="J65" s="3"/>
      <c r="K65" s="8"/>
      <c r="L65" s="3"/>
      <c r="M65" s="3"/>
      <c r="N65" s="3"/>
      <c r="O65" s="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2"/>
      <c r="AD65" s="16"/>
      <c r="AE65" s="3"/>
    </row>
    <row r="66" spans="1:31">
      <c r="A66" s="3"/>
      <c r="B66" s="16"/>
      <c r="C66" s="16"/>
      <c r="E66" s="16"/>
      <c r="G66" s="3"/>
      <c r="H66" s="3"/>
      <c r="I66" s="3"/>
      <c r="J66" s="3"/>
      <c r="K66" s="8"/>
      <c r="L66" s="3"/>
      <c r="M66" s="3"/>
      <c r="N66" s="3"/>
      <c r="O66" s="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2" t="s">
        <v>310</v>
      </c>
      <c r="AD66" s="16"/>
      <c r="AE66" s="3"/>
    </row>
    <row r="67" spans="1:31">
      <c r="A67" s="44" t="s">
        <v>309</v>
      </c>
      <c r="B67" s="16"/>
      <c r="C67" s="16"/>
      <c r="E67" s="16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2"/>
      <c r="AD67" s="16"/>
      <c r="AE67" s="3"/>
    </row>
    <row r="68" spans="1:31">
      <c r="A68" s="44"/>
      <c r="B68" s="16"/>
      <c r="C68" s="16"/>
      <c r="E68" s="16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2"/>
      <c r="AD68" s="16"/>
      <c r="AE68" s="3"/>
    </row>
    <row r="69" spans="1:31" hidden="1">
      <c r="A69" s="3" t="s">
        <v>345</v>
      </c>
      <c r="B69" s="3"/>
      <c r="C69" s="3" t="s">
        <v>321</v>
      </c>
      <c r="E69" s="16">
        <v>45849</v>
      </c>
      <c r="G69" s="3"/>
      <c r="H69" s="3"/>
      <c r="I69" s="3"/>
      <c r="J69" s="3"/>
      <c r="K69" s="8">
        <f>+M69-I69-G69</f>
        <v>0</v>
      </c>
      <c r="L69" s="3"/>
      <c r="M69" s="3"/>
      <c r="N69" s="3"/>
      <c r="O69" s="8">
        <f>+S69-Q69</f>
        <v>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2">
        <f>SUM(W69:AA69)</f>
        <v>0</v>
      </c>
      <c r="AD69" s="16"/>
      <c r="AE69" s="3">
        <f>+G69+I69+K69-O69-Q69-AA69-Y69-U69-W69</f>
        <v>0</v>
      </c>
    </row>
    <row r="70" spans="1:31" hidden="1">
      <c r="A70" s="3" t="s">
        <v>346</v>
      </c>
      <c r="B70" s="3"/>
      <c r="C70" s="3" t="s">
        <v>152</v>
      </c>
      <c r="E70" s="16"/>
      <c r="G70" s="3"/>
      <c r="H70" s="3"/>
      <c r="I70" s="3"/>
      <c r="J70" s="3"/>
      <c r="K70" s="8">
        <f>+M70-I70-G70</f>
        <v>0</v>
      </c>
      <c r="L70" s="3"/>
      <c r="M70" s="3"/>
      <c r="N70" s="3"/>
      <c r="O70" s="8">
        <f>+S70-Q70</f>
        <v>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22">
        <f>SUM(W70:AA70)</f>
        <v>0</v>
      </c>
      <c r="AD70" s="16"/>
      <c r="AE70" s="3">
        <f>+G70+I70+K70-O70-Q70-AA70-Y70-U70-W70</f>
        <v>0</v>
      </c>
    </row>
    <row r="71" spans="1:31">
      <c r="A71" s="3" t="s">
        <v>156</v>
      </c>
      <c r="B71" s="3"/>
      <c r="C71" s="3" t="s">
        <v>153</v>
      </c>
      <c r="E71" s="16">
        <v>135145</v>
      </c>
      <c r="G71" s="34">
        <v>487404</v>
      </c>
      <c r="H71" s="34"/>
      <c r="I71" s="34">
        <v>0</v>
      </c>
      <c r="J71" s="34"/>
      <c r="K71" s="15">
        <f>+M71-I71-G71</f>
        <v>273739</v>
      </c>
      <c r="L71" s="34"/>
      <c r="M71" s="34">
        <v>761143</v>
      </c>
      <c r="N71" s="34"/>
      <c r="O71" s="15">
        <f>+S71-Q71</f>
        <v>366343</v>
      </c>
      <c r="P71" s="34"/>
      <c r="Q71" s="34">
        <v>0</v>
      </c>
      <c r="R71" s="34"/>
      <c r="S71" s="34">
        <v>366343</v>
      </c>
      <c r="T71" s="34"/>
      <c r="U71" s="34"/>
      <c r="V71" s="34"/>
      <c r="W71" s="34">
        <v>42183</v>
      </c>
      <c r="X71" s="34"/>
      <c r="Y71" s="34">
        <v>0</v>
      </c>
      <c r="Z71" s="34"/>
      <c r="AA71" s="34">
        <v>352617</v>
      </c>
      <c r="AB71" s="34"/>
      <c r="AC71" s="54">
        <f>SUM(W71:AA71)</f>
        <v>394800</v>
      </c>
      <c r="AD71" s="16"/>
      <c r="AE71" s="3">
        <f>+G71+I71+K71-O71-Q71-AA71-Y71-U71-W71</f>
        <v>0</v>
      </c>
    </row>
    <row r="72" spans="1:31" hidden="1">
      <c r="A72" s="3" t="s">
        <v>362</v>
      </c>
      <c r="B72" s="3"/>
      <c r="C72" s="3" t="s">
        <v>322</v>
      </c>
      <c r="E72" s="16"/>
      <c r="G72" s="3"/>
      <c r="H72" s="3"/>
      <c r="I72" s="3"/>
      <c r="J72" s="3"/>
      <c r="K72" s="8">
        <f>+M72-I72-G72</f>
        <v>0</v>
      </c>
      <c r="L72" s="3"/>
      <c r="M72" s="3"/>
      <c r="N72" s="3"/>
      <c r="O72" s="8">
        <f>+S72-Q72</f>
        <v>0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22">
        <f>SUM(W72:AA72)</f>
        <v>0</v>
      </c>
      <c r="AD72" s="16"/>
      <c r="AE72" s="3">
        <f>+G72+I72+K72-O72-Q72-AA72-Y72-U72-W72</f>
        <v>0</v>
      </c>
    </row>
    <row r="73" spans="1:31">
      <c r="A73" s="16" t="s">
        <v>365</v>
      </c>
      <c r="B73" s="16"/>
      <c r="C73" s="16" t="s">
        <v>158</v>
      </c>
      <c r="E73" s="16">
        <v>46029</v>
      </c>
      <c r="G73" s="3">
        <v>2118395</v>
      </c>
      <c r="H73" s="3"/>
      <c r="I73" s="3">
        <v>0</v>
      </c>
      <c r="J73" s="3"/>
      <c r="K73" s="8">
        <f>+M73-I73-G73</f>
        <v>237780</v>
      </c>
      <c r="L73" s="3"/>
      <c r="M73" s="3">
        <v>2356175</v>
      </c>
      <c r="N73" s="3"/>
      <c r="O73" s="8">
        <f>+S73-Q73</f>
        <v>432328</v>
      </c>
      <c r="P73" s="3"/>
      <c r="Q73" s="3">
        <v>9717</v>
      </c>
      <c r="R73" s="3"/>
      <c r="S73" s="3">
        <v>442045</v>
      </c>
      <c r="T73" s="3"/>
      <c r="U73" s="3"/>
      <c r="V73" s="3"/>
      <c r="W73" s="3">
        <v>62200</v>
      </c>
      <c r="X73" s="3"/>
      <c r="Y73" s="3">
        <v>0</v>
      </c>
      <c r="Z73" s="3"/>
      <c r="AA73" s="3">
        <v>1851930</v>
      </c>
      <c r="AB73" s="3"/>
      <c r="AC73" s="22">
        <f>SUM(W73:AA73)</f>
        <v>1914130</v>
      </c>
      <c r="AD73" s="16"/>
      <c r="AE73" s="3">
        <f>+G73+I73+K73-O73-Q73-AA73-Y73-U73-W73</f>
        <v>0</v>
      </c>
    </row>
    <row r="74" spans="1:31">
      <c r="A74" s="16" t="s">
        <v>364</v>
      </c>
      <c r="B74" s="16"/>
      <c r="C74" s="16" t="s">
        <v>155</v>
      </c>
      <c r="E74" s="16">
        <v>46086</v>
      </c>
      <c r="G74" s="3">
        <v>1081521</v>
      </c>
      <c r="H74" s="3"/>
      <c r="I74" s="3">
        <v>1099678</v>
      </c>
      <c r="J74" s="3"/>
      <c r="K74" s="8">
        <f t="shared" ref="K74:K130" si="4">+M74-I74-G74</f>
        <v>661465</v>
      </c>
      <c r="L74" s="3"/>
      <c r="M74" s="3">
        <v>2842664</v>
      </c>
      <c r="N74" s="3"/>
      <c r="O74" s="8">
        <f t="shared" ref="O74:O130" si="5">+S74-Q74</f>
        <v>1354083</v>
      </c>
      <c r="P74" s="3"/>
      <c r="Q74" s="3">
        <v>380122</v>
      </c>
      <c r="R74" s="3"/>
      <c r="S74" s="3">
        <v>1734205</v>
      </c>
      <c r="T74" s="3"/>
      <c r="U74" s="3"/>
      <c r="V74" s="3"/>
      <c r="W74" s="3">
        <v>197666</v>
      </c>
      <c r="X74" s="3"/>
      <c r="Y74" s="3">
        <v>0</v>
      </c>
      <c r="Z74" s="3"/>
      <c r="AA74" s="3">
        <v>910793</v>
      </c>
      <c r="AB74" s="3"/>
      <c r="AC74" s="22">
        <f t="shared" ref="AC74:AC130" si="6">SUM(W74:AA74)</f>
        <v>1108459</v>
      </c>
      <c r="AD74" s="16"/>
      <c r="AE74" s="3">
        <f t="shared" ref="AE74:AE128" si="7">+G74+I74+K74-O74-Q74-AA74-Y74-U74-W74</f>
        <v>0</v>
      </c>
    </row>
    <row r="75" spans="1:31">
      <c r="A75" s="16" t="s">
        <v>366</v>
      </c>
      <c r="B75" s="16"/>
      <c r="C75" s="16" t="s">
        <v>161</v>
      </c>
      <c r="E75" s="16">
        <v>46227</v>
      </c>
      <c r="G75" s="3">
        <v>1385890</v>
      </c>
      <c r="H75" s="3"/>
      <c r="I75" s="3">
        <v>392285</v>
      </c>
      <c r="J75" s="3"/>
      <c r="K75" s="8">
        <f t="shared" si="4"/>
        <v>285235</v>
      </c>
      <c r="L75" s="3"/>
      <c r="M75" s="3">
        <v>2063410</v>
      </c>
      <c r="N75" s="3"/>
      <c r="O75" s="8">
        <f t="shared" si="5"/>
        <v>713482</v>
      </c>
      <c r="P75" s="3"/>
      <c r="Q75" s="3">
        <v>0</v>
      </c>
      <c r="R75" s="3"/>
      <c r="S75" s="3">
        <v>713482</v>
      </c>
      <c r="T75" s="3"/>
      <c r="U75" s="3"/>
      <c r="V75" s="3"/>
      <c r="W75" s="3">
        <f>161835+392285</f>
        <v>554120</v>
      </c>
      <c r="X75" s="3"/>
      <c r="Y75" s="3">
        <v>325000</v>
      </c>
      <c r="Z75" s="3"/>
      <c r="AA75" s="3">
        <v>470808</v>
      </c>
      <c r="AB75" s="3"/>
      <c r="AC75" s="22">
        <f t="shared" si="6"/>
        <v>1349928</v>
      </c>
      <c r="AD75" s="16"/>
      <c r="AE75" s="3">
        <f t="shared" si="7"/>
        <v>0</v>
      </c>
    </row>
    <row r="76" spans="1:31">
      <c r="A76" s="16" t="s">
        <v>162</v>
      </c>
      <c r="B76" s="16"/>
      <c r="C76" s="16" t="s">
        <v>163</v>
      </c>
      <c r="E76" s="16">
        <v>46292</v>
      </c>
      <c r="G76" s="3">
        <v>5492518</v>
      </c>
      <c r="H76" s="3"/>
      <c r="I76" s="3">
        <v>0</v>
      </c>
      <c r="J76" s="3"/>
      <c r="K76" s="8">
        <f t="shared" si="4"/>
        <v>1247813</v>
      </c>
      <c r="L76" s="3"/>
      <c r="M76" s="3">
        <v>6740331</v>
      </c>
      <c r="N76" s="3"/>
      <c r="O76" s="8">
        <f t="shared" si="5"/>
        <v>2536367</v>
      </c>
      <c r="P76" s="3"/>
      <c r="Q76" s="3">
        <v>0</v>
      </c>
      <c r="R76" s="3"/>
      <c r="S76" s="3">
        <v>2536367</v>
      </c>
      <c r="T76" s="3"/>
      <c r="U76" s="3"/>
      <c r="V76" s="3"/>
      <c r="W76" s="3">
        <v>121247</v>
      </c>
      <c r="X76" s="3"/>
      <c r="Y76" s="3">
        <v>0</v>
      </c>
      <c r="Z76" s="3"/>
      <c r="AA76" s="3">
        <v>4082717</v>
      </c>
      <c r="AB76" s="3"/>
      <c r="AC76" s="22">
        <f t="shared" si="6"/>
        <v>4203964</v>
      </c>
      <c r="AD76" s="16"/>
      <c r="AE76" s="3">
        <f t="shared" si="7"/>
        <v>0</v>
      </c>
    </row>
    <row r="77" spans="1:31" s="24" customFormat="1" hidden="1">
      <c r="A77" s="16" t="s">
        <v>350</v>
      </c>
      <c r="B77" s="16"/>
      <c r="C77" s="16" t="s">
        <v>164</v>
      </c>
      <c r="E77" s="16">
        <v>46375</v>
      </c>
      <c r="G77" s="3"/>
      <c r="H77" s="3"/>
      <c r="I77" s="3"/>
      <c r="J77" s="3"/>
      <c r="K77" s="8">
        <f t="shared" si="4"/>
        <v>0</v>
      </c>
      <c r="L77" s="3"/>
      <c r="M77" s="3"/>
      <c r="N77" s="3"/>
      <c r="O77" s="8">
        <f t="shared" si="5"/>
        <v>0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22">
        <f t="shared" si="6"/>
        <v>0</v>
      </c>
      <c r="AD77" s="16"/>
      <c r="AE77" s="3">
        <f t="shared" si="7"/>
        <v>0</v>
      </c>
    </row>
    <row r="78" spans="1:31">
      <c r="A78" s="16" t="s">
        <v>367</v>
      </c>
      <c r="B78" s="16"/>
      <c r="C78" s="16" t="s">
        <v>165</v>
      </c>
      <c r="E78" s="16">
        <v>46417</v>
      </c>
      <c r="G78" s="3">
        <v>600243</v>
      </c>
      <c r="H78" s="3"/>
      <c r="I78" s="3">
        <v>0</v>
      </c>
      <c r="J78" s="3"/>
      <c r="K78" s="8">
        <f t="shared" si="4"/>
        <v>560525</v>
      </c>
      <c r="L78" s="3"/>
      <c r="M78" s="3">
        <v>1160768</v>
      </c>
      <c r="N78" s="3"/>
      <c r="O78" s="8">
        <f t="shared" si="5"/>
        <v>924145</v>
      </c>
      <c r="P78" s="3"/>
      <c r="Q78" s="3">
        <v>172632</v>
      </c>
      <c r="R78" s="3"/>
      <c r="S78" s="3">
        <v>1096777</v>
      </c>
      <c r="T78" s="3"/>
      <c r="U78" s="3"/>
      <c r="V78" s="3"/>
      <c r="W78" s="3">
        <f>188735+3102+16578</f>
        <v>208415</v>
      </c>
      <c r="X78" s="3"/>
      <c r="Y78" s="3">
        <v>0</v>
      </c>
      <c r="Z78" s="3"/>
      <c r="AA78" s="3">
        <v>-144424</v>
      </c>
      <c r="AB78" s="3"/>
      <c r="AC78" s="22">
        <f t="shared" si="6"/>
        <v>63991</v>
      </c>
      <c r="AD78" s="16"/>
      <c r="AE78" s="3">
        <f t="shared" si="7"/>
        <v>0</v>
      </c>
    </row>
    <row r="79" spans="1:31">
      <c r="A79" s="16" t="s">
        <v>166</v>
      </c>
      <c r="B79" s="16"/>
      <c r="C79" s="16" t="s">
        <v>167</v>
      </c>
      <c r="E79" s="16">
        <v>46532</v>
      </c>
      <c r="G79" s="3">
        <v>18173447</v>
      </c>
      <c r="H79" s="3"/>
      <c r="I79" s="3">
        <v>0</v>
      </c>
      <c r="J79" s="3"/>
      <c r="K79" s="8">
        <f t="shared" si="4"/>
        <v>12988861</v>
      </c>
      <c r="L79" s="3"/>
      <c r="M79" s="3">
        <v>31162308</v>
      </c>
      <c r="N79" s="3"/>
      <c r="O79" s="8">
        <f t="shared" si="5"/>
        <v>5663154</v>
      </c>
      <c r="P79" s="3"/>
      <c r="Q79" s="3">
        <v>1540712</v>
      </c>
      <c r="R79" s="3"/>
      <c r="S79" s="3">
        <v>7203866</v>
      </c>
      <c r="T79" s="3"/>
      <c r="U79" s="3"/>
      <c r="V79" s="3"/>
      <c r="W79" s="3">
        <v>1069089</v>
      </c>
      <c r="X79" s="3"/>
      <c r="Y79" s="3">
        <v>0</v>
      </c>
      <c r="Z79" s="3"/>
      <c r="AA79" s="3">
        <v>22889353</v>
      </c>
      <c r="AB79" s="3"/>
      <c r="AC79" s="22">
        <f t="shared" si="6"/>
        <v>23958442</v>
      </c>
      <c r="AD79" s="16"/>
      <c r="AE79" s="3">
        <f t="shared" si="7"/>
        <v>0</v>
      </c>
    </row>
    <row r="80" spans="1:31" hidden="1">
      <c r="A80" s="16" t="s">
        <v>339</v>
      </c>
      <c r="B80" s="16"/>
      <c r="C80" s="16" t="s">
        <v>169</v>
      </c>
      <c r="E80" s="16"/>
      <c r="G80" s="3"/>
      <c r="H80" s="3"/>
      <c r="I80" s="3"/>
      <c r="J80" s="3"/>
      <c r="K80" s="8">
        <f>+M80-I80-G80</f>
        <v>0</v>
      </c>
      <c r="L80" s="3"/>
      <c r="M80" s="3"/>
      <c r="N80" s="3"/>
      <c r="O80" s="8">
        <f>+S80-Q80</f>
        <v>0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22">
        <f>SUM(W80:AA80)</f>
        <v>0</v>
      </c>
      <c r="AD80" s="16"/>
      <c r="AE80" s="3">
        <f>+G80+I80+K80-O80-Q80-AA80-Y80-U80-W80</f>
        <v>0</v>
      </c>
    </row>
    <row r="81" spans="1:31" s="24" customFormat="1" hidden="1">
      <c r="A81" s="3" t="s">
        <v>363</v>
      </c>
      <c r="B81" s="16"/>
      <c r="C81" s="16" t="s">
        <v>171</v>
      </c>
      <c r="E81" s="16">
        <v>46730</v>
      </c>
      <c r="G81" s="3"/>
      <c r="H81" s="3"/>
      <c r="I81" s="3"/>
      <c r="J81" s="3"/>
      <c r="K81" s="8">
        <f t="shared" si="4"/>
        <v>0</v>
      </c>
      <c r="L81" s="3"/>
      <c r="M81" s="3"/>
      <c r="N81" s="3"/>
      <c r="O81" s="8">
        <f t="shared" si="5"/>
        <v>0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22">
        <f t="shared" si="6"/>
        <v>0</v>
      </c>
      <c r="AD81" s="16"/>
      <c r="AE81" s="3">
        <f t="shared" si="7"/>
        <v>0</v>
      </c>
    </row>
    <row r="82" spans="1:31" s="24" customFormat="1">
      <c r="A82" s="3" t="s">
        <v>384</v>
      </c>
      <c r="B82" s="3"/>
      <c r="C82" s="3" t="s">
        <v>227</v>
      </c>
      <c r="D82" s="3"/>
      <c r="E82" s="12">
        <v>50260</v>
      </c>
      <c r="G82" s="3">
        <v>1345854</v>
      </c>
      <c r="H82" s="3"/>
      <c r="I82" s="3">
        <v>0</v>
      </c>
      <c r="J82" s="3"/>
      <c r="K82" s="8">
        <f t="shared" si="4"/>
        <v>232445</v>
      </c>
      <c r="L82" s="3"/>
      <c r="M82" s="3">
        <v>1578299</v>
      </c>
      <c r="N82" s="3"/>
      <c r="O82" s="8">
        <f t="shared" si="5"/>
        <v>837229</v>
      </c>
      <c r="P82" s="3"/>
      <c r="Q82" s="3">
        <v>157455</v>
      </c>
      <c r="R82" s="3"/>
      <c r="S82" s="3">
        <v>994684</v>
      </c>
      <c r="T82" s="3"/>
      <c r="U82" s="3">
        <v>0</v>
      </c>
      <c r="V82" s="3"/>
      <c r="W82" s="3">
        <v>0</v>
      </c>
      <c r="X82" s="3"/>
      <c r="Y82" s="3">
        <v>0</v>
      </c>
      <c r="Z82" s="3"/>
      <c r="AA82" s="3">
        <v>583615</v>
      </c>
      <c r="AB82" s="3"/>
      <c r="AC82" s="22">
        <f t="shared" ref="AC82" si="8">SUM(W82:AA82)</f>
        <v>583615</v>
      </c>
      <c r="AD82" s="16"/>
      <c r="AE82" s="3">
        <f t="shared" ref="AE82" si="9">+G82+I82+K82-O82-Q82-AA82-Y82-U82-W82</f>
        <v>0</v>
      </c>
    </row>
    <row r="83" spans="1:31" s="24" customFormat="1" hidden="1">
      <c r="A83" s="16" t="s">
        <v>344</v>
      </c>
      <c r="B83" s="16"/>
      <c r="C83" s="16" t="s">
        <v>172</v>
      </c>
      <c r="E83" s="16">
        <v>125690</v>
      </c>
      <c r="G83" s="3"/>
      <c r="H83" s="3"/>
      <c r="I83" s="3"/>
      <c r="J83" s="3"/>
      <c r="K83" s="8">
        <f t="shared" si="4"/>
        <v>0</v>
      </c>
      <c r="L83" s="3"/>
      <c r="M83" s="3"/>
      <c r="N83" s="3"/>
      <c r="O83" s="8">
        <f t="shared" si="5"/>
        <v>0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22">
        <f t="shared" si="6"/>
        <v>0</v>
      </c>
      <c r="AD83" s="16"/>
      <c r="AE83" s="3">
        <f t="shared" si="7"/>
        <v>0</v>
      </c>
    </row>
    <row r="84" spans="1:31">
      <c r="A84" s="16" t="s">
        <v>173</v>
      </c>
      <c r="B84" s="16"/>
      <c r="C84" s="16" t="s">
        <v>174</v>
      </c>
      <c r="E84" s="16">
        <v>46839</v>
      </c>
      <c r="G84" s="3">
        <v>1662250</v>
      </c>
      <c r="H84" s="3"/>
      <c r="I84" s="3">
        <v>0</v>
      </c>
      <c r="J84" s="3"/>
      <c r="K84" s="8">
        <f t="shared" si="4"/>
        <v>468684</v>
      </c>
      <c r="L84" s="3"/>
      <c r="M84" s="3">
        <v>2130934</v>
      </c>
      <c r="N84" s="3"/>
      <c r="O84" s="8">
        <f t="shared" si="5"/>
        <v>1099708</v>
      </c>
      <c r="P84" s="3"/>
      <c r="Q84" s="3">
        <v>0</v>
      </c>
      <c r="R84" s="3"/>
      <c r="S84" s="3">
        <v>1099708</v>
      </c>
      <c r="T84" s="3"/>
      <c r="U84" s="3">
        <v>0</v>
      </c>
      <c r="V84" s="3"/>
      <c r="W84" s="3">
        <v>0</v>
      </c>
      <c r="X84" s="3"/>
      <c r="Y84" s="3">
        <v>0</v>
      </c>
      <c r="Z84" s="3"/>
      <c r="AA84" s="3">
        <v>1031226</v>
      </c>
      <c r="AB84" s="3"/>
      <c r="AC84" s="22">
        <f t="shared" si="6"/>
        <v>1031226</v>
      </c>
      <c r="AD84" s="16"/>
      <c r="AE84" s="3">
        <f t="shared" si="7"/>
        <v>0</v>
      </c>
    </row>
    <row r="85" spans="1:31">
      <c r="A85" s="3" t="s">
        <v>353</v>
      </c>
      <c r="B85" s="16"/>
      <c r="C85" s="16" t="s">
        <v>175</v>
      </c>
      <c r="E85" s="16">
        <v>46938</v>
      </c>
      <c r="G85" s="3">
        <v>13613935</v>
      </c>
      <c r="H85" s="3"/>
      <c r="I85" s="3">
        <v>0</v>
      </c>
      <c r="J85" s="3"/>
      <c r="K85" s="8">
        <f t="shared" si="4"/>
        <v>9495515</v>
      </c>
      <c r="L85" s="3"/>
      <c r="M85" s="3">
        <v>23109450</v>
      </c>
      <c r="N85" s="3"/>
      <c r="O85" s="8">
        <f t="shared" si="5"/>
        <v>4659040</v>
      </c>
      <c r="P85" s="3"/>
      <c r="Q85" s="3">
        <v>5437874</v>
      </c>
      <c r="R85" s="3"/>
      <c r="S85" s="3">
        <v>10096914</v>
      </c>
      <c r="T85" s="3"/>
      <c r="U85" s="3">
        <v>0</v>
      </c>
      <c r="V85" s="3"/>
      <c r="W85" s="3">
        <f>1065396+63672+4889</f>
        <v>1133957</v>
      </c>
      <c r="X85" s="3"/>
      <c r="Y85" s="3">
        <v>0</v>
      </c>
      <c r="Z85" s="3"/>
      <c r="AA85" s="3">
        <v>11878579</v>
      </c>
      <c r="AB85" s="3"/>
      <c r="AC85" s="22">
        <f t="shared" si="6"/>
        <v>13012536</v>
      </c>
      <c r="AD85" s="16"/>
      <c r="AE85" s="3">
        <f t="shared" si="7"/>
        <v>0</v>
      </c>
    </row>
    <row r="86" spans="1:31">
      <c r="A86" s="16" t="s">
        <v>177</v>
      </c>
      <c r="B86" s="16"/>
      <c r="C86" s="16" t="s">
        <v>178</v>
      </c>
      <c r="E86" s="16">
        <v>125682</v>
      </c>
      <c r="G86" s="3">
        <v>1097218</v>
      </c>
      <c r="H86" s="3"/>
      <c r="I86" s="3">
        <v>0</v>
      </c>
      <c r="J86" s="3"/>
      <c r="K86" s="8">
        <f t="shared" si="4"/>
        <v>15394</v>
      </c>
      <c r="L86" s="3"/>
      <c r="M86" s="3">
        <v>1112612</v>
      </c>
      <c r="N86" s="3"/>
      <c r="O86" s="8">
        <f t="shared" si="5"/>
        <v>52547</v>
      </c>
      <c r="P86" s="3"/>
      <c r="Q86" s="3">
        <v>0</v>
      </c>
      <c r="R86" s="3"/>
      <c r="S86" s="3">
        <v>52547</v>
      </c>
      <c r="T86" s="3"/>
      <c r="U86" s="3"/>
      <c r="V86" s="3"/>
      <c r="W86" s="3">
        <v>0</v>
      </c>
      <c r="X86" s="3"/>
      <c r="Y86" s="3">
        <v>0</v>
      </c>
      <c r="Z86" s="3"/>
      <c r="AA86" s="3">
        <v>1060065</v>
      </c>
      <c r="AB86" s="3"/>
      <c r="AC86" s="22">
        <f t="shared" si="6"/>
        <v>1060065</v>
      </c>
      <c r="AD86" s="16"/>
      <c r="AE86" s="3">
        <f t="shared" si="7"/>
        <v>0</v>
      </c>
    </row>
    <row r="87" spans="1:31">
      <c r="A87" s="35" t="s">
        <v>376</v>
      </c>
      <c r="B87" s="16"/>
      <c r="C87" s="16" t="s">
        <v>179</v>
      </c>
      <c r="E87" s="16">
        <v>47159</v>
      </c>
      <c r="G87" s="3">
        <v>1474870</v>
      </c>
      <c r="H87" s="3"/>
      <c r="I87" s="3">
        <v>0</v>
      </c>
      <c r="J87" s="3"/>
      <c r="K87" s="8">
        <f t="shared" si="4"/>
        <v>594713</v>
      </c>
      <c r="L87" s="3"/>
      <c r="M87" s="3">
        <v>2069583</v>
      </c>
      <c r="N87" s="3"/>
      <c r="O87" s="8">
        <f t="shared" si="5"/>
        <v>1073180</v>
      </c>
      <c r="P87" s="3"/>
      <c r="Q87" s="3">
        <v>0</v>
      </c>
      <c r="R87" s="3"/>
      <c r="S87" s="3">
        <v>1073180</v>
      </c>
      <c r="T87" s="3"/>
      <c r="U87" s="3"/>
      <c r="V87" s="3"/>
      <c r="W87" s="3">
        <v>26828</v>
      </c>
      <c r="X87" s="3"/>
      <c r="Y87" s="3">
        <v>0</v>
      </c>
      <c r="Z87" s="3"/>
      <c r="AA87" s="3">
        <v>969575</v>
      </c>
      <c r="AB87" s="3"/>
      <c r="AC87" s="22">
        <f t="shared" si="6"/>
        <v>996403</v>
      </c>
      <c r="AD87" s="16"/>
      <c r="AE87" s="3">
        <f t="shared" si="7"/>
        <v>0</v>
      </c>
    </row>
    <row r="88" spans="1:31">
      <c r="A88" s="16" t="s">
        <v>377</v>
      </c>
      <c r="B88" s="16"/>
      <c r="C88" s="16" t="s">
        <v>180</v>
      </c>
      <c r="E88" s="16">
        <v>47233</v>
      </c>
      <c r="G88" s="3">
        <v>3058002</v>
      </c>
      <c r="H88" s="3"/>
      <c r="I88" s="3">
        <v>0</v>
      </c>
      <c r="J88" s="3"/>
      <c r="K88" s="8">
        <f t="shared" si="4"/>
        <v>387335</v>
      </c>
      <c r="L88" s="3"/>
      <c r="M88" s="3">
        <v>3445337</v>
      </c>
      <c r="N88" s="3"/>
      <c r="O88" s="8">
        <f t="shared" si="5"/>
        <v>1725453</v>
      </c>
      <c r="P88" s="3"/>
      <c r="Q88" s="3">
        <v>5264</v>
      </c>
      <c r="R88" s="3"/>
      <c r="S88" s="3">
        <v>1730717</v>
      </c>
      <c r="T88" s="3"/>
      <c r="U88" s="3"/>
      <c r="V88" s="3"/>
      <c r="W88" s="3">
        <v>24897</v>
      </c>
      <c r="X88" s="3"/>
      <c r="Y88" s="3">
        <v>0</v>
      </c>
      <c r="Z88" s="3"/>
      <c r="AA88" s="3">
        <v>1689723</v>
      </c>
      <c r="AB88" s="3"/>
      <c r="AC88" s="22">
        <f t="shared" si="6"/>
        <v>1714620</v>
      </c>
      <c r="AD88" s="16"/>
      <c r="AE88" s="3">
        <f t="shared" si="7"/>
        <v>0</v>
      </c>
    </row>
    <row r="89" spans="1:31">
      <c r="A89" s="16" t="s">
        <v>378</v>
      </c>
      <c r="B89" s="16"/>
      <c r="C89" s="16" t="s">
        <v>181</v>
      </c>
      <c r="E89" s="16">
        <v>47324</v>
      </c>
      <c r="G89" s="3">
        <v>7747588</v>
      </c>
      <c r="H89" s="3"/>
      <c r="I89" s="3">
        <v>0</v>
      </c>
      <c r="J89" s="3"/>
      <c r="K89" s="8">
        <f t="shared" si="4"/>
        <v>2356741</v>
      </c>
      <c r="L89" s="3"/>
      <c r="M89" s="3">
        <v>10104329</v>
      </c>
      <c r="N89" s="3"/>
      <c r="O89" s="8">
        <f t="shared" si="5"/>
        <v>3999824</v>
      </c>
      <c r="P89" s="3"/>
      <c r="Q89" s="3">
        <v>344922</v>
      </c>
      <c r="R89" s="3"/>
      <c r="S89" s="3">
        <v>4344746</v>
      </c>
      <c r="T89" s="3"/>
      <c r="U89" s="3"/>
      <c r="V89" s="3"/>
      <c r="W89" s="3">
        <f>20413+7060</f>
        <v>27473</v>
      </c>
      <c r="X89" s="3"/>
      <c r="Y89" s="3">
        <v>0</v>
      </c>
      <c r="Z89" s="3"/>
      <c r="AA89" s="3">
        <v>5732110</v>
      </c>
      <c r="AB89" s="3"/>
      <c r="AC89" s="22">
        <f t="shared" si="6"/>
        <v>5759583</v>
      </c>
      <c r="AD89" s="16"/>
      <c r="AE89" s="3">
        <f t="shared" si="7"/>
        <v>0</v>
      </c>
    </row>
    <row r="90" spans="1:31">
      <c r="A90" s="16" t="s">
        <v>379</v>
      </c>
      <c r="B90" s="16"/>
      <c r="C90" s="16" t="s">
        <v>182</v>
      </c>
      <c r="E90" s="16">
        <v>47407</v>
      </c>
      <c r="G90" s="3">
        <v>912069</v>
      </c>
      <c r="H90" s="3"/>
      <c r="I90" s="3">
        <v>0</v>
      </c>
      <c r="J90" s="3"/>
      <c r="K90" s="8">
        <f t="shared" si="4"/>
        <v>62244</v>
      </c>
      <c r="L90" s="3"/>
      <c r="M90" s="3">
        <v>974313</v>
      </c>
      <c r="N90" s="3"/>
      <c r="O90" s="8">
        <f t="shared" si="5"/>
        <v>664083</v>
      </c>
      <c r="P90" s="3"/>
      <c r="Q90" s="3">
        <v>0</v>
      </c>
      <c r="R90" s="3"/>
      <c r="S90" s="3">
        <v>664083</v>
      </c>
      <c r="T90" s="3"/>
      <c r="U90" s="3"/>
      <c r="V90" s="3"/>
      <c r="W90" s="3">
        <v>4695</v>
      </c>
      <c r="X90" s="3"/>
      <c r="Y90" s="3">
        <v>0</v>
      </c>
      <c r="Z90" s="3"/>
      <c r="AA90" s="3">
        <v>305535</v>
      </c>
      <c r="AB90" s="3"/>
      <c r="AC90" s="22">
        <f t="shared" si="6"/>
        <v>310230</v>
      </c>
      <c r="AD90" s="16"/>
      <c r="AE90" s="3">
        <f t="shared" si="7"/>
        <v>0</v>
      </c>
    </row>
    <row r="91" spans="1:31">
      <c r="A91" s="16" t="s">
        <v>380</v>
      </c>
      <c r="B91" s="16"/>
      <c r="C91" s="16" t="s">
        <v>21</v>
      </c>
      <c r="E91" s="16">
        <v>47480</v>
      </c>
      <c r="G91" s="3">
        <v>1325205</v>
      </c>
      <c r="H91" s="3"/>
      <c r="I91" s="3">
        <v>0</v>
      </c>
      <c r="J91" s="3"/>
      <c r="K91" s="8">
        <f t="shared" si="4"/>
        <v>431404</v>
      </c>
      <c r="L91" s="3"/>
      <c r="M91" s="3">
        <v>1756609</v>
      </c>
      <c r="N91" s="3"/>
      <c r="O91" s="8">
        <f t="shared" si="5"/>
        <v>318470</v>
      </c>
      <c r="P91" s="3"/>
      <c r="Q91" s="3">
        <v>393708</v>
      </c>
      <c r="R91" s="3"/>
      <c r="S91" s="3">
        <v>712178</v>
      </c>
      <c r="T91" s="3"/>
      <c r="U91" s="3"/>
      <c r="V91" s="3"/>
      <c r="W91" s="3">
        <v>14381</v>
      </c>
      <c r="X91" s="3"/>
      <c r="Y91" s="3">
        <v>0</v>
      </c>
      <c r="Z91" s="3"/>
      <c r="AA91" s="3">
        <v>1030050</v>
      </c>
      <c r="AB91" s="3"/>
      <c r="AC91" s="22">
        <f t="shared" si="6"/>
        <v>1044431</v>
      </c>
      <c r="AD91" s="16"/>
      <c r="AE91" s="3">
        <f t="shared" si="7"/>
        <v>0</v>
      </c>
    </row>
    <row r="92" spans="1:31">
      <c r="A92" s="16" t="s">
        <v>381</v>
      </c>
      <c r="B92" s="16"/>
      <c r="C92" s="16" t="s">
        <v>183</v>
      </c>
      <c r="E92" s="16">
        <v>47779</v>
      </c>
      <c r="G92" s="3">
        <v>3149460</v>
      </c>
      <c r="H92" s="3"/>
      <c r="I92" s="3">
        <v>0</v>
      </c>
      <c r="J92" s="3"/>
      <c r="K92" s="8">
        <f t="shared" si="4"/>
        <v>322416</v>
      </c>
      <c r="L92" s="3"/>
      <c r="M92" s="3">
        <v>3471876</v>
      </c>
      <c r="N92" s="3"/>
      <c r="O92" s="8">
        <f t="shared" si="5"/>
        <v>346444</v>
      </c>
      <c r="P92" s="3"/>
      <c r="Q92" s="3">
        <v>561</v>
      </c>
      <c r="R92" s="3"/>
      <c r="S92" s="3">
        <v>347005</v>
      </c>
      <c r="T92" s="3"/>
      <c r="U92" s="3"/>
      <c r="V92" s="3"/>
      <c r="W92" s="3">
        <f>2968+3608+47281</f>
        <v>53857</v>
      </c>
      <c r="X92" s="3"/>
      <c r="Y92" s="3">
        <v>0</v>
      </c>
      <c r="Z92" s="3"/>
      <c r="AA92" s="3">
        <v>3071014</v>
      </c>
      <c r="AB92" s="3"/>
      <c r="AC92" s="22">
        <f t="shared" si="6"/>
        <v>3124871</v>
      </c>
      <c r="AD92" s="16"/>
      <c r="AE92" s="3">
        <f t="shared" si="7"/>
        <v>0</v>
      </c>
    </row>
    <row r="93" spans="1:31">
      <c r="A93" s="16" t="s">
        <v>382</v>
      </c>
      <c r="B93" s="16"/>
      <c r="C93" s="16" t="s">
        <v>184</v>
      </c>
      <c r="E93" s="16">
        <v>47811</v>
      </c>
      <c r="G93" s="3">
        <v>115160</v>
      </c>
      <c r="H93" s="3"/>
      <c r="I93" s="3">
        <v>0</v>
      </c>
      <c r="J93" s="3"/>
      <c r="K93" s="8">
        <f t="shared" si="4"/>
        <v>296106</v>
      </c>
      <c r="L93" s="3"/>
      <c r="M93" s="3">
        <v>411266</v>
      </c>
      <c r="N93" s="3"/>
      <c r="O93" s="8">
        <f t="shared" si="5"/>
        <v>443739</v>
      </c>
      <c r="P93" s="3"/>
      <c r="Q93" s="3">
        <v>0</v>
      </c>
      <c r="R93" s="3"/>
      <c r="S93" s="3">
        <v>443739</v>
      </c>
      <c r="T93" s="3"/>
      <c r="U93" s="3"/>
      <c r="V93" s="3"/>
      <c r="W93" s="3">
        <v>4243</v>
      </c>
      <c r="X93" s="3"/>
      <c r="Y93" s="3">
        <v>0</v>
      </c>
      <c r="Z93" s="3"/>
      <c r="AA93" s="3">
        <v>-36716</v>
      </c>
      <c r="AB93" s="3"/>
      <c r="AC93" s="22">
        <f t="shared" si="6"/>
        <v>-32473</v>
      </c>
      <c r="AD93" s="16"/>
      <c r="AE93" s="3">
        <f t="shared" si="7"/>
        <v>0</v>
      </c>
    </row>
    <row r="94" spans="1:31">
      <c r="A94" s="16" t="s">
        <v>383</v>
      </c>
      <c r="B94" s="16"/>
      <c r="C94" s="16" t="s">
        <v>154</v>
      </c>
      <c r="E94" s="16">
        <v>47860</v>
      </c>
      <c r="G94" s="3">
        <v>1654197</v>
      </c>
      <c r="H94" s="3"/>
      <c r="I94" s="3">
        <v>0</v>
      </c>
      <c r="J94" s="3"/>
      <c r="K94" s="8">
        <f t="shared" si="4"/>
        <v>185786</v>
      </c>
      <c r="L94" s="3"/>
      <c r="M94" s="3">
        <v>1839983</v>
      </c>
      <c r="N94" s="3"/>
      <c r="O94" s="8">
        <f t="shared" si="5"/>
        <v>1176632</v>
      </c>
      <c r="P94" s="3"/>
      <c r="Q94" s="3">
        <v>0</v>
      </c>
      <c r="R94" s="3"/>
      <c r="S94" s="3">
        <v>1176632</v>
      </c>
      <c r="T94" s="3"/>
      <c r="U94" s="3"/>
      <c r="V94" s="3"/>
      <c r="W94" s="3">
        <v>108709</v>
      </c>
      <c r="X94" s="3"/>
      <c r="Y94" s="3">
        <v>0</v>
      </c>
      <c r="Z94" s="3"/>
      <c r="AA94" s="3">
        <v>554642</v>
      </c>
      <c r="AB94" s="3"/>
      <c r="AC94" s="22">
        <f t="shared" si="6"/>
        <v>663351</v>
      </c>
      <c r="AD94" s="16"/>
      <c r="AE94" s="3">
        <f t="shared" si="7"/>
        <v>0</v>
      </c>
    </row>
    <row r="95" spans="1:31">
      <c r="A95" s="16" t="s">
        <v>368</v>
      </c>
      <c r="B95" s="16"/>
      <c r="C95" s="16" t="s">
        <v>185</v>
      </c>
      <c r="E95" s="16">
        <v>47910</v>
      </c>
      <c r="G95" s="3">
        <v>300409</v>
      </c>
      <c r="H95" s="3"/>
      <c r="I95" s="3">
        <v>0</v>
      </c>
      <c r="J95" s="3"/>
      <c r="K95" s="8">
        <f t="shared" si="4"/>
        <v>47668</v>
      </c>
      <c r="L95" s="3"/>
      <c r="M95" s="3">
        <v>348077</v>
      </c>
      <c r="N95" s="3"/>
      <c r="O95" s="8">
        <f t="shared" si="5"/>
        <v>66390</v>
      </c>
      <c r="P95" s="3"/>
      <c r="Q95" s="3">
        <v>0</v>
      </c>
      <c r="R95" s="3"/>
      <c r="S95" s="3">
        <v>66390</v>
      </c>
      <c r="T95" s="3"/>
      <c r="U95" s="3"/>
      <c r="V95" s="3"/>
      <c r="W95" s="3">
        <v>12686</v>
      </c>
      <c r="X95" s="3"/>
      <c r="Y95" s="3">
        <v>0</v>
      </c>
      <c r="Z95" s="3"/>
      <c r="AA95" s="3">
        <v>269001</v>
      </c>
      <c r="AB95" s="3"/>
      <c r="AC95" s="22">
        <f t="shared" si="6"/>
        <v>281687</v>
      </c>
      <c r="AD95" s="16"/>
      <c r="AE95" s="3">
        <f t="shared" si="7"/>
        <v>0</v>
      </c>
    </row>
    <row r="96" spans="1:31">
      <c r="A96" s="3" t="s">
        <v>369</v>
      </c>
      <c r="B96" s="3"/>
      <c r="C96" s="3" t="s">
        <v>187</v>
      </c>
      <c r="E96" s="16"/>
      <c r="G96" s="3">
        <v>843394</v>
      </c>
      <c r="H96" s="3"/>
      <c r="I96" s="3">
        <v>0</v>
      </c>
      <c r="J96" s="3"/>
      <c r="K96" s="8">
        <f>+M96-I96-G96</f>
        <v>2215573</v>
      </c>
      <c r="L96" s="3"/>
      <c r="M96" s="3">
        <v>3058967</v>
      </c>
      <c r="N96" s="3"/>
      <c r="O96" s="8">
        <f>+S96-Q96</f>
        <v>1187989</v>
      </c>
      <c r="P96" s="3"/>
      <c r="Q96" s="3">
        <v>2077727</v>
      </c>
      <c r="R96" s="3"/>
      <c r="S96" s="3">
        <v>3265716</v>
      </c>
      <c r="T96" s="3"/>
      <c r="U96" s="3"/>
      <c r="V96" s="3"/>
      <c r="W96" s="3">
        <v>24605</v>
      </c>
      <c r="X96" s="3"/>
      <c r="Y96" s="3">
        <v>0</v>
      </c>
      <c r="Z96" s="3"/>
      <c r="AA96" s="3">
        <v>-231354</v>
      </c>
      <c r="AB96" s="3"/>
      <c r="AC96" s="22">
        <f>SUM(W96:AA96)</f>
        <v>-206749</v>
      </c>
      <c r="AD96" s="16"/>
      <c r="AE96" s="3">
        <f>+G96+I96+K96-O96-Q96-AA96-Y96-U96-W96</f>
        <v>0</v>
      </c>
    </row>
    <row r="97" spans="1:31">
      <c r="A97" s="16" t="s">
        <v>370</v>
      </c>
      <c r="B97" s="16"/>
      <c r="C97" s="16" t="s">
        <v>188</v>
      </c>
      <c r="E97" s="16">
        <v>48058</v>
      </c>
      <c r="G97" s="3">
        <v>525898</v>
      </c>
      <c r="H97" s="3"/>
      <c r="I97" s="3">
        <v>0</v>
      </c>
      <c r="J97" s="3"/>
      <c r="K97" s="8">
        <f t="shared" si="4"/>
        <v>109685</v>
      </c>
      <c r="L97" s="3"/>
      <c r="M97" s="3">
        <v>635583</v>
      </c>
      <c r="N97" s="3"/>
      <c r="O97" s="8">
        <f t="shared" si="5"/>
        <v>268523</v>
      </c>
      <c r="P97" s="3"/>
      <c r="Q97" s="3">
        <v>0</v>
      </c>
      <c r="R97" s="3"/>
      <c r="S97" s="3">
        <v>268523</v>
      </c>
      <c r="T97" s="3"/>
      <c r="U97" s="3"/>
      <c r="V97" s="3"/>
      <c r="W97" s="3">
        <v>4510</v>
      </c>
      <c r="X97" s="3"/>
      <c r="Y97" s="3">
        <v>0</v>
      </c>
      <c r="Z97" s="3"/>
      <c r="AA97" s="3">
        <v>362550</v>
      </c>
      <c r="AB97" s="3"/>
      <c r="AC97" s="22">
        <f t="shared" si="6"/>
        <v>367060</v>
      </c>
      <c r="AD97" s="16"/>
      <c r="AE97" s="3">
        <f t="shared" si="7"/>
        <v>0</v>
      </c>
    </row>
    <row r="98" spans="1:31">
      <c r="A98" s="16" t="s">
        <v>371</v>
      </c>
      <c r="B98" s="16"/>
      <c r="C98" s="16" t="s">
        <v>150</v>
      </c>
      <c r="E98" s="16">
        <v>48108</v>
      </c>
      <c r="G98" s="3">
        <v>2613141</v>
      </c>
      <c r="H98" s="3"/>
      <c r="I98" s="3">
        <v>0</v>
      </c>
      <c r="J98" s="3"/>
      <c r="K98" s="8">
        <f t="shared" si="4"/>
        <v>1206637</v>
      </c>
      <c r="L98" s="3"/>
      <c r="M98" s="3">
        <v>3819778</v>
      </c>
      <c r="N98" s="3"/>
      <c r="O98" s="8">
        <f t="shared" si="5"/>
        <v>811989</v>
      </c>
      <c r="P98" s="3"/>
      <c r="Q98" s="3">
        <v>0</v>
      </c>
      <c r="R98" s="3"/>
      <c r="S98" s="3">
        <v>811989</v>
      </c>
      <c r="T98" s="3"/>
      <c r="U98" s="3"/>
      <c r="V98" s="3"/>
      <c r="W98" s="3">
        <v>377690</v>
      </c>
      <c r="X98" s="3"/>
      <c r="Y98" s="3">
        <v>0</v>
      </c>
      <c r="Z98" s="3"/>
      <c r="AA98" s="3">
        <v>2630099</v>
      </c>
      <c r="AB98" s="3"/>
      <c r="AC98" s="22">
        <f t="shared" si="6"/>
        <v>3007789</v>
      </c>
      <c r="AD98" s="16"/>
      <c r="AE98" s="3">
        <f t="shared" si="7"/>
        <v>0</v>
      </c>
    </row>
    <row r="99" spans="1:31">
      <c r="A99" s="16" t="s">
        <v>372</v>
      </c>
      <c r="B99" s="16"/>
      <c r="C99" s="16" t="s">
        <v>189</v>
      </c>
      <c r="E99" s="16">
        <v>48199</v>
      </c>
      <c r="G99" s="3">
        <v>3037577</v>
      </c>
      <c r="H99" s="3"/>
      <c r="I99" s="3">
        <v>0</v>
      </c>
      <c r="J99" s="3"/>
      <c r="K99" s="8">
        <f t="shared" si="4"/>
        <v>618874</v>
      </c>
      <c r="L99" s="3"/>
      <c r="M99" s="3">
        <v>3656451</v>
      </c>
      <c r="N99" s="3"/>
      <c r="O99" s="8">
        <f t="shared" si="5"/>
        <v>1240423</v>
      </c>
      <c r="P99" s="3"/>
      <c r="Q99" s="3">
        <v>213169</v>
      </c>
      <c r="R99" s="3"/>
      <c r="S99" s="3">
        <v>1453592</v>
      </c>
      <c r="T99" s="3"/>
      <c r="U99" s="3"/>
      <c r="V99" s="3"/>
      <c r="W99" s="3">
        <v>115603</v>
      </c>
      <c r="X99" s="3"/>
      <c r="Y99" s="3">
        <v>0</v>
      </c>
      <c r="Z99" s="3"/>
      <c r="AA99" s="3">
        <v>2087256</v>
      </c>
      <c r="AB99" s="3"/>
      <c r="AC99" s="22">
        <f t="shared" si="6"/>
        <v>2202859</v>
      </c>
      <c r="AD99" s="16"/>
      <c r="AE99" s="3">
        <f t="shared" si="7"/>
        <v>0</v>
      </c>
    </row>
    <row r="100" spans="1:31" s="24" customFormat="1">
      <c r="A100" s="16" t="s">
        <v>159</v>
      </c>
      <c r="B100" s="16"/>
      <c r="C100" s="16" t="s">
        <v>160</v>
      </c>
      <c r="E100" s="16">
        <v>137364</v>
      </c>
      <c r="G100" s="3">
        <v>1127641</v>
      </c>
      <c r="H100" s="3"/>
      <c r="I100" s="3">
        <v>0</v>
      </c>
      <c r="J100" s="3"/>
      <c r="K100" s="8">
        <f t="shared" si="4"/>
        <v>251566</v>
      </c>
      <c r="L100" s="3"/>
      <c r="M100" s="3">
        <v>1379207</v>
      </c>
      <c r="N100" s="3"/>
      <c r="O100" s="8">
        <f t="shared" si="5"/>
        <v>1291075</v>
      </c>
      <c r="P100" s="3"/>
      <c r="Q100" s="3">
        <v>374</v>
      </c>
      <c r="R100" s="3"/>
      <c r="S100" s="3">
        <v>1291449</v>
      </c>
      <c r="T100" s="3"/>
      <c r="U100" s="3"/>
      <c r="V100" s="3"/>
      <c r="W100" s="3">
        <f>37762+3926</f>
        <v>41688</v>
      </c>
      <c r="X100" s="3"/>
      <c r="Y100" s="3">
        <v>0</v>
      </c>
      <c r="Z100" s="3"/>
      <c r="AA100" s="3">
        <v>46070</v>
      </c>
      <c r="AB100" s="3"/>
      <c r="AC100" s="22">
        <f t="shared" si="6"/>
        <v>87758</v>
      </c>
      <c r="AD100" s="16"/>
      <c r="AE100" s="3">
        <f t="shared" si="7"/>
        <v>0</v>
      </c>
    </row>
    <row r="101" spans="1:31" s="24" customFormat="1">
      <c r="A101" s="16" t="s">
        <v>190</v>
      </c>
      <c r="B101" s="16"/>
      <c r="C101" s="16" t="s">
        <v>191</v>
      </c>
      <c r="E101" s="16">
        <v>48280</v>
      </c>
      <c r="G101" s="3">
        <v>2515445</v>
      </c>
      <c r="H101" s="3"/>
      <c r="I101" s="3">
        <v>0</v>
      </c>
      <c r="J101" s="3"/>
      <c r="K101" s="8">
        <f t="shared" si="4"/>
        <v>2642522</v>
      </c>
      <c r="L101" s="3"/>
      <c r="M101" s="3">
        <v>5157967</v>
      </c>
      <c r="N101" s="3"/>
      <c r="O101" s="8">
        <f t="shared" si="5"/>
        <v>1867157</v>
      </c>
      <c r="P101" s="3"/>
      <c r="Q101" s="3">
        <v>2054799</v>
      </c>
      <c r="R101" s="3"/>
      <c r="S101" s="3">
        <v>3921956</v>
      </c>
      <c r="T101" s="3"/>
      <c r="U101" s="3"/>
      <c r="V101" s="3"/>
      <c r="W101" s="3">
        <f>428934+25185+2614</f>
        <v>456733</v>
      </c>
      <c r="X101" s="3"/>
      <c r="Y101" s="3">
        <v>0</v>
      </c>
      <c r="Z101" s="3"/>
      <c r="AA101" s="3">
        <v>779278</v>
      </c>
      <c r="AB101" s="3"/>
      <c r="AC101" s="22">
        <f t="shared" si="6"/>
        <v>1236011</v>
      </c>
      <c r="AD101" s="16"/>
      <c r="AE101" s="3">
        <f t="shared" si="7"/>
        <v>0</v>
      </c>
    </row>
    <row r="102" spans="1:31" s="24" customFormat="1">
      <c r="A102" s="16" t="s">
        <v>192</v>
      </c>
      <c r="B102" s="16"/>
      <c r="C102" s="16" t="s">
        <v>193</v>
      </c>
      <c r="E102" s="16">
        <v>48454</v>
      </c>
      <c r="G102" s="3">
        <v>2272183</v>
      </c>
      <c r="H102" s="3"/>
      <c r="I102" s="3">
        <v>0</v>
      </c>
      <c r="J102" s="3"/>
      <c r="K102" s="8">
        <f t="shared" si="4"/>
        <v>163875</v>
      </c>
      <c r="L102" s="3"/>
      <c r="M102" s="3">
        <v>2436058</v>
      </c>
      <c r="N102" s="3"/>
      <c r="O102" s="8">
        <f t="shared" si="5"/>
        <v>311492</v>
      </c>
      <c r="P102" s="3"/>
      <c r="Q102" s="3">
        <v>129</v>
      </c>
      <c r="R102" s="3"/>
      <c r="S102" s="3">
        <v>311621</v>
      </c>
      <c r="T102" s="3"/>
      <c r="U102" s="3"/>
      <c r="V102" s="3"/>
      <c r="W102" s="3">
        <v>43518</v>
      </c>
      <c r="X102" s="3"/>
      <c r="Y102" s="3">
        <v>0</v>
      </c>
      <c r="Z102" s="3"/>
      <c r="AA102" s="3">
        <v>2080919</v>
      </c>
      <c r="AB102" s="3"/>
      <c r="AC102" s="22">
        <f t="shared" si="6"/>
        <v>2124437</v>
      </c>
      <c r="AD102" s="16"/>
      <c r="AE102" s="3">
        <f t="shared" si="7"/>
        <v>0</v>
      </c>
    </row>
    <row r="103" spans="1:31" s="24" customFormat="1" hidden="1">
      <c r="A103" s="3" t="s">
        <v>348</v>
      </c>
      <c r="B103" s="16"/>
      <c r="C103" s="16" t="s">
        <v>195</v>
      </c>
      <c r="E103" s="16">
        <v>48546</v>
      </c>
      <c r="G103" s="3"/>
      <c r="H103" s="3"/>
      <c r="I103" s="3"/>
      <c r="J103" s="3"/>
      <c r="K103" s="8">
        <f t="shared" si="4"/>
        <v>0</v>
      </c>
      <c r="L103" s="3"/>
      <c r="M103" s="3"/>
      <c r="N103" s="3"/>
      <c r="O103" s="8">
        <f t="shared" si="5"/>
        <v>0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22">
        <f t="shared" si="6"/>
        <v>0</v>
      </c>
      <c r="AD103" s="16"/>
      <c r="AE103" s="3">
        <f t="shared" si="7"/>
        <v>0</v>
      </c>
    </row>
    <row r="104" spans="1:31" s="24" customFormat="1">
      <c r="A104" s="16" t="s">
        <v>196</v>
      </c>
      <c r="B104" s="16"/>
      <c r="C104" s="16" t="s">
        <v>197</v>
      </c>
      <c r="E104" s="16">
        <v>48603</v>
      </c>
      <c r="G104" s="3">
        <v>2832308</v>
      </c>
      <c r="H104" s="3"/>
      <c r="I104" s="3">
        <v>3408</v>
      </c>
      <c r="J104" s="3"/>
      <c r="K104" s="8">
        <f t="shared" si="4"/>
        <v>176751</v>
      </c>
      <c r="L104" s="3"/>
      <c r="M104" s="3">
        <v>3012467</v>
      </c>
      <c r="N104" s="3"/>
      <c r="O104" s="8">
        <f t="shared" si="5"/>
        <v>1401561</v>
      </c>
      <c r="P104" s="3"/>
      <c r="Q104" s="3">
        <v>8721</v>
      </c>
      <c r="R104" s="3"/>
      <c r="S104" s="3">
        <v>1410282</v>
      </c>
      <c r="T104" s="3"/>
      <c r="U104" s="3"/>
      <c r="V104" s="3"/>
      <c r="W104" s="3">
        <f>49273+3408</f>
        <v>52681</v>
      </c>
      <c r="X104" s="3"/>
      <c r="Y104" s="3">
        <v>0</v>
      </c>
      <c r="Z104" s="3"/>
      <c r="AA104" s="3">
        <v>1549504</v>
      </c>
      <c r="AB104" s="3"/>
      <c r="AC104" s="22">
        <f t="shared" si="6"/>
        <v>1602185</v>
      </c>
      <c r="AD104" s="16"/>
      <c r="AE104" s="3">
        <f t="shared" si="7"/>
        <v>0</v>
      </c>
    </row>
    <row r="105" spans="1:31" s="24" customFormat="1" hidden="1">
      <c r="A105" s="3" t="s">
        <v>347</v>
      </c>
      <c r="B105" s="3"/>
      <c r="C105" s="3" t="s">
        <v>212</v>
      </c>
      <c r="E105" s="16"/>
      <c r="G105" s="3"/>
      <c r="H105" s="3"/>
      <c r="I105" s="3"/>
      <c r="J105" s="3"/>
      <c r="K105" s="8">
        <f>+M105-I105-G105</f>
        <v>0</v>
      </c>
      <c r="L105" s="3"/>
      <c r="M105" s="3"/>
      <c r="N105" s="3"/>
      <c r="O105" s="8">
        <f>+S105-Q105</f>
        <v>0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22">
        <f>SUM(W105:AA105)</f>
        <v>0</v>
      </c>
      <c r="AD105" s="16"/>
      <c r="AE105" s="3">
        <f>+G105+I105+K105-O105-Q105-AA105-Y105-U105-W105</f>
        <v>0</v>
      </c>
    </row>
    <row r="106" spans="1:31" s="24" customFormat="1">
      <c r="A106" s="16" t="s">
        <v>198</v>
      </c>
      <c r="B106" s="16"/>
      <c r="C106" s="16" t="s">
        <v>199</v>
      </c>
      <c r="E106" s="16">
        <v>48660</v>
      </c>
      <c r="G106" s="3">
        <v>14878800</v>
      </c>
      <c r="H106" s="3"/>
      <c r="I106" s="3">
        <v>0</v>
      </c>
      <c r="J106" s="3"/>
      <c r="K106" s="8">
        <f t="shared" si="4"/>
        <v>1309603</v>
      </c>
      <c r="L106" s="3"/>
      <c r="M106" s="3">
        <v>16188403</v>
      </c>
      <c r="N106" s="3"/>
      <c r="O106" s="8">
        <f t="shared" si="5"/>
        <v>3628908</v>
      </c>
      <c r="P106" s="3"/>
      <c r="Q106" s="3">
        <v>119821</v>
      </c>
      <c r="R106" s="3"/>
      <c r="S106" s="3">
        <v>3748729</v>
      </c>
      <c r="T106" s="3"/>
      <c r="U106" s="3"/>
      <c r="V106" s="3"/>
      <c r="W106" s="3">
        <v>548012</v>
      </c>
      <c r="X106" s="3"/>
      <c r="Y106" s="3">
        <v>0</v>
      </c>
      <c r="Z106" s="3"/>
      <c r="AA106" s="3">
        <v>11891662</v>
      </c>
      <c r="AB106" s="3"/>
      <c r="AC106" s="22">
        <f t="shared" si="6"/>
        <v>12439674</v>
      </c>
      <c r="AD106" s="16"/>
      <c r="AE106" s="3">
        <f t="shared" si="7"/>
        <v>0</v>
      </c>
    </row>
    <row r="107" spans="1:31" s="24" customFormat="1">
      <c r="A107" s="16" t="s">
        <v>200</v>
      </c>
      <c r="B107" s="16"/>
      <c r="C107" s="16" t="s">
        <v>201</v>
      </c>
      <c r="E107" s="16">
        <v>125252</v>
      </c>
      <c r="G107" s="3">
        <f>2077373+1523522</f>
        <v>3600895</v>
      </c>
      <c r="H107" s="3"/>
      <c r="I107" s="3">
        <v>0</v>
      </c>
      <c r="J107" s="3"/>
      <c r="K107" s="8">
        <f t="shared" si="4"/>
        <v>315328</v>
      </c>
      <c r="L107" s="3"/>
      <c r="M107" s="3">
        <v>3916223</v>
      </c>
      <c r="N107" s="3"/>
      <c r="O107" s="8">
        <f t="shared" si="5"/>
        <v>1117888</v>
      </c>
      <c r="P107" s="3"/>
      <c r="Q107" s="3">
        <v>879</v>
      </c>
      <c r="R107" s="3"/>
      <c r="S107" s="3">
        <v>1118767</v>
      </c>
      <c r="T107" s="3"/>
      <c r="U107" s="3"/>
      <c r="V107" s="3"/>
      <c r="W107" s="3">
        <f>234927+113188</f>
        <v>348115</v>
      </c>
      <c r="X107" s="3"/>
      <c r="Y107" s="3">
        <v>0</v>
      </c>
      <c r="Z107" s="3"/>
      <c r="AA107" s="3">
        <v>2449341</v>
      </c>
      <c r="AB107" s="3"/>
      <c r="AC107" s="22">
        <f t="shared" si="6"/>
        <v>2797456</v>
      </c>
      <c r="AD107" s="16"/>
      <c r="AE107" s="3">
        <f t="shared" si="7"/>
        <v>0</v>
      </c>
    </row>
    <row r="108" spans="1:31">
      <c r="A108" s="16" t="s">
        <v>326</v>
      </c>
      <c r="B108" s="16"/>
      <c r="C108" s="16" t="s">
        <v>218</v>
      </c>
      <c r="E108" s="16">
        <v>123257</v>
      </c>
      <c r="G108" s="3">
        <f>2386895+39600</f>
        <v>2426495</v>
      </c>
      <c r="H108" s="3"/>
      <c r="I108" s="3">
        <v>0</v>
      </c>
      <c r="J108" s="3"/>
      <c r="K108" s="8">
        <f t="shared" si="4"/>
        <v>405674</v>
      </c>
      <c r="L108" s="3"/>
      <c r="M108" s="3">
        <v>2832169</v>
      </c>
      <c r="N108" s="3"/>
      <c r="O108" s="8">
        <f t="shared" si="5"/>
        <v>1535678</v>
      </c>
      <c r="P108" s="3"/>
      <c r="Q108" s="3">
        <v>14106</v>
      </c>
      <c r="R108" s="3"/>
      <c r="S108" s="3">
        <v>1549784</v>
      </c>
      <c r="T108" s="3"/>
      <c r="U108" s="3"/>
      <c r="V108" s="3"/>
      <c r="W108" s="3">
        <f>55415+33571</f>
        <v>88986</v>
      </c>
      <c r="X108" s="3"/>
      <c r="Y108" s="3">
        <v>0</v>
      </c>
      <c r="Z108" s="3"/>
      <c r="AA108" s="3">
        <v>1193399</v>
      </c>
      <c r="AB108" s="3"/>
      <c r="AC108" s="22">
        <f t="shared" si="6"/>
        <v>1282385</v>
      </c>
      <c r="AD108" s="16"/>
      <c r="AE108" s="3">
        <f t="shared" si="7"/>
        <v>0</v>
      </c>
    </row>
    <row r="109" spans="1:31">
      <c r="A109" s="16" t="s">
        <v>373</v>
      </c>
      <c r="B109" s="16"/>
      <c r="C109" s="16" t="s">
        <v>172</v>
      </c>
      <c r="E109" s="16"/>
      <c r="G109" s="3">
        <v>6917140</v>
      </c>
      <c r="H109" s="3"/>
      <c r="I109" s="3">
        <v>0</v>
      </c>
      <c r="J109" s="3"/>
      <c r="K109" s="8">
        <f t="shared" si="4"/>
        <v>558756</v>
      </c>
      <c r="L109" s="3"/>
      <c r="M109" s="3">
        <v>7475896</v>
      </c>
      <c r="N109" s="3"/>
      <c r="O109" s="8">
        <f t="shared" si="5"/>
        <v>1975563</v>
      </c>
      <c r="P109" s="3"/>
      <c r="Q109" s="3">
        <f>365+173078</f>
        <v>173443</v>
      </c>
      <c r="R109" s="3"/>
      <c r="S109" s="3">
        <v>2149006</v>
      </c>
      <c r="T109" s="3"/>
      <c r="U109" s="3"/>
      <c r="V109" s="3"/>
      <c r="W109" s="3">
        <f>245348+65262</f>
        <v>310610</v>
      </c>
      <c r="X109" s="3"/>
      <c r="Y109" s="3">
        <v>0</v>
      </c>
      <c r="Z109" s="3"/>
      <c r="AA109" s="3">
        <v>5016280</v>
      </c>
      <c r="AB109" s="3"/>
      <c r="AC109" s="22">
        <f t="shared" si="6"/>
        <v>5326890</v>
      </c>
      <c r="AD109" s="16"/>
      <c r="AE109" s="3">
        <f t="shared" si="7"/>
        <v>0</v>
      </c>
    </row>
    <row r="110" spans="1:31">
      <c r="A110" s="16" t="s">
        <v>176</v>
      </c>
      <c r="B110" s="16"/>
      <c r="C110" s="3" t="s">
        <v>242</v>
      </c>
      <c r="E110" s="16">
        <v>124297</v>
      </c>
      <c r="G110" s="3">
        <v>7597414</v>
      </c>
      <c r="H110" s="3"/>
      <c r="I110" s="3">
        <v>0</v>
      </c>
      <c r="J110" s="3"/>
      <c r="K110" s="8">
        <f t="shared" si="4"/>
        <v>58002</v>
      </c>
      <c r="L110" s="3"/>
      <c r="M110" s="3">
        <v>7655416</v>
      </c>
      <c r="N110" s="3"/>
      <c r="O110" s="8">
        <f t="shared" si="5"/>
        <v>2249776</v>
      </c>
      <c r="P110" s="3"/>
      <c r="Q110" s="3">
        <v>11875</v>
      </c>
      <c r="R110" s="3"/>
      <c r="S110" s="3">
        <v>2261651</v>
      </c>
      <c r="T110" s="3"/>
      <c r="U110" s="3"/>
      <c r="V110" s="3"/>
      <c r="W110" s="3">
        <v>73461</v>
      </c>
      <c r="X110" s="3"/>
      <c r="Y110" s="3">
        <v>0</v>
      </c>
      <c r="Z110" s="3"/>
      <c r="AA110" s="3">
        <v>5320304</v>
      </c>
      <c r="AB110" s="3"/>
      <c r="AC110" s="22">
        <f t="shared" si="6"/>
        <v>5393765</v>
      </c>
      <c r="AD110" s="16"/>
      <c r="AE110" s="3">
        <f t="shared" si="7"/>
        <v>0</v>
      </c>
    </row>
    <row r="111" spans="1:31">
      <c r="A111" s="16" t="s">
        <v>313</v>
      </c>
      <c r="B111" s="16"/>
      <c r="C111" s="3" t="s">
        <v>320</v>
      </c>
      <c r="E111" s="16">
        <v>123521</v>
      </c>
      <c r="G111" s="3">
        <v>1522031</v>
      </c>
      <c r="H111" s="3"/>
      <c r="I111" s="3">
        <v>28270</v>
      </c>
      <c r="J111" s="3"/>
      <c r="K111" s="8">
        <f t="shared" si="4"/>
        <v>259794</v>
      </c>
      <c r="L111" s="3"/>
      <c r="M111" s="3">
        <v>1810095</v>
      </c>
      <c r="N111" s="3"/>
      <c r="O111" s="8">
        <f t="shared" si="5"/>
        <v>806781</v>
      </c>
      <c r="P111" s="3"/>
      <c r="Q111" s="3">
        <v>1897</v>
      </c>
      <c r="R111" s="3"/>
      <c r="S111" s="3">
        <v>808678</v>
      </c>
      <c r="T111" s="3"/>
      <c r="U111" s="3"/>
      <c r="V111" s="3"/>
      <c r="W111" s="3">
        <f>6205+28270</f>
        <v>34475</v>
      </c>
      <c r="X111" s="3"/>
      <c r="Y111" s="3">
        <v>0</v>
      </c>
      <c r="Z111" s="3"/>
      <c r="AA111" s="3">
        <v>966942</v>
      </c>
      <c r="AB111" s="3"/>
      <c r="AC111" s="22">
        <f t="shared" si="6"/>
        <v>1001417</v>
      </c>
      <c r="AD111" s="16"/>
      <c r="AE111" s="3">
        <f t="shared" si="7"/>
        <v>0</v>
      </c>
    </row>
    <row r="112" spans="1:31" s="24" customFormat="1">
      <c r="A112" s="16" t="s">
        <v>202</v>
      </c>
      <c r="B112" s="16"/>
      <c r="C112" s="16" t="s">
        <v>203</v>
      </c>
      <c r="E112" s="16">
        <v>125674</v>
      </c>
      <c r="G112" s="3">
        <v>367444</v>
      </c>
      <c r="H112" s="3"/>
      <c r="I112" s="3">
        <v>0</v>
      </c>
      <c r="J112" s="3"/>
      <c r="K112" s="8">
        <f t="shared" si="4"/>
        <v>175986</v>
      </c>
      <c r="L112" s="3"/>
      <c r="M112" s="3">
        <v>543430</v>
      </c>
      <c r="N112" s="3"/>
      <c r="O112" s="8">
        <f t="shared" si="5"/>
        <v>723793</v>
      </c>
      <c r="P112" s="3"/>
      <c r="Q112" s="3">
        <v>0</v>
      </c>
      <c r="R112" s="3"/>
      <c r="S112" s="3">
        <v>723793</v>
      </c>
      <c r="T112" s="3"/>
      <c r="U112" s="3">
        <v>0</v>
      </c>
      <c r="V112" s="3"/>
      <c r="W112" s="3">
        <v>8928</v>
      </c>
      <c r="X112" s="3"/>
      <c r="Y112" s="3">
        <v>0</v>
      </c>
      <c r="Z112" s="3"/>
      <c r="AA112" s="3">
        <v>-189291</v>
      </c>
      <c r="AB112" s="3"/>
      <c r="AC112" s="22">
        <f t="shared" si="6"/>
        <v>-180363</v>
      </c>
      <c r="AD112" s="16"/>
      <c r="AE112" s="3">
        <f t="shared" si="7"/>
        <v>0</v>
      </c>
    </row>
    <row r="113" spans="1:31" s="24" customFormat="1">
      <c r="A113" s="16" t="s">
        <v>204</v>
      </c>
      <c r="B113" s="16"/>
      <c r="C113" s="16" t="s">
        <v>205</v>
      </c>
      <c r="E113" s="16">
        <v>49072</v>
      </c>
      <c r="G113" s="3">
        <v>510674</v>
      </c>
      <c r="H113" s="3"/>
      <c r="I113" s="3">
        <v>0</v>
      </c>
      <c r="J113" s="3"/>
      <c r="K113" s="8">
        <f t="shared" si="4"/>
        <v>68920</v>
      </c>
      <c r="L113" s="3"/>
      <c r="M113" s="3">
        <v>579594</v>
      </c>
      <c r="N113" s="3"/>
      <c r="O113" s="8">
        <f t="shared" si="5"/>
        <v>257122</v>
      </c>
      <c r="P113" s="3"/>
      <c r="Q113" s="3">
        <v>0</v>
      </c>
      <c r="R113" s="3"/>
      <c r="S113" s="3">
        <v>257122</v>
      </c>
      <c r="T113" s="3"/>
      <c r="U113" s="3">
        <v>0</v>
      </c>
      <c r="V113" s="3"/>
      <c r="W113" s="3">
        <v>15534</v>
      </c>
      <c r="X113" s="3"/>
      <c r="Y113" s="3">
        <v>0</v>
      </c>
      <c r="Z113" s="3"/>
      <c r="AA113" s="3">
        <v>306938</v>
      </c>
      <c r="AB113" s="3"/>
      <c r="AC113" s="22">
        <f t="shared" si="6"/>
        <v>322472</v>
      </c>
      <c r="AD113" s="16"/>
      <c r="AE113" s="3">
        <f t="shared" si="7"/>
        <v>0</v>
      </c>
    </row>
    <row r="114" spans="1:31" s="24" customFormat="1">
      <c r="A114" s="16" t="s">
        <v>206</v>
      </c>
      <c r="B114" s="16"/>
      <c r="C114" s="16" t="s">
        <v>207</v>
      </c>
      <c r="E114" s="16">
        <v>49163</v>
      </c>
      <c r="G114" s="3">
        <v>866226</v>
      </c>
      <c r="H114" s="3"/>
      <c r="I114" s="3">
        <v>0</v>
      </c>
      <c r="J114" s="3"/>
      <c r="K114" s="8">
        <f t="shared" si="4"/>
        <v>623703</v>
      </c>
      <c r="L114" s="3"/>
      <c r="M114" s="3">
        <v>1489929</v>
      </c>
      <c r="N114" s="3"/>
      <c r="O114" s="8">
        <f t="shared" si="5"/>
        <v>652234</v>
      </c>
      <c r="P114" s="3"/>
      <c r="Q114" s="3">
        <v>501309</v>
      </c>
      <c r="R114" s="3"/>
      <c r="S114" s="3">
        <v>1153543</v>
      </c>
      <c r="T114" s="3"/>
      <c r="U114" s="3">
        <v>0</v>
      </c>
      <c r="V114" s="3"/>
      <c r="W114" s="3">
        <v>28792</v>
      </c>
      <c r="X114" s="3"/>
      <c r="Y114" s="3">
        <v>0</v>
      </c>
      <c r="Z114" s="3"/>
      <c r="AA114" s="3">
        <v>307594</v>
      </c>
      <c r="AB114" s="3"/>
      <c r="AC114" s="22">
        <f t="shared" si="6"/>
        <v>336386</v>
      </c>
      <c r="AD114" s="16"/>
      <c r="AE114" s="3">
        <f t="shared" si="7"/>
        <v>0</v>
      </c>
    </row>
    <row r="115" spans="1:31" s="24" customFormat="1" hidden="1">
      <c r="A115" s="16" t="s">
        <v>349</v>
      </c>
      <c r="B115" s="16"/>
      <c r="C115" s="16" t="s">
        <v>209</v>
      </c>
      <c r="E115" s="16">
        <v>49254</v>
      </c>
      <c r="G115" s="3"/>
      <c r="H115" s="3"/>
      <c r="I115" s="3"/>
      <c r="J115" s="3"/>
      <c r="K115" s="8">
        <f t="shared" si="4"/>
        <v>0</v>
      </c>
      <c r="L115" s="3"/>
      <c r="M115" s="3"/>
      <c r="N115" s="3"/>
      <c r="O115" s="8">
        <f t="shared" si="5"/>
        <v>0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22">
        <f t="shared" si="6"/>
        <v>0</v>
      </c>
      <c r="AD115" s="16"/>
      <c r="AE115" s="3">
        <f t="shared" si="7"/>
        <v>0</v>
      </c>
    </row>
    <row r="116" spans="1:31" s="24" customFormat="1">
      <c r="A116" s="16" t="s">
        <v>210</v>
      </c>
      <c r="B116" s="16"/>
      <c r="C116" s="16" t="s">
        <v>211</v>
      </c>
      <c r="E116" s="16">
        <v>49304</v>
      </c>
      <c r="G116" s="3">
        <v>1347830</v>
      </c>
      <c r="H116" s="3"/>
      <c r="I116" s="3">
        <v>0</v>
      </c>
      <c r="J116" s="3"/>
      <c r="K116" s="8">
        <f t="shared" si="4"/>
        <v>85963</v>
      </c>
      <c r="L116" s="3"/>
      <c r="M116" s="3">
        <v>1433793</v>
      </c>
      <c r="N116" s="3"/>
      <c r="O116" s="8">
        <f t="shared" si="5"/>
        <v>641493</v>
      </c>
      <c r="P116" s="3"/>
      <c r="Q116" s="3">
        <v>2149</v>
      </c>
      <c r="R116" s="3"/>
      <c r="S116" s="3">
        <v>643642</v>
      </c>
      <c r="T116" s="3"/>
      <c r="U116" s="3">
        <v>0</v>
      </c>
      <c r="V116" s="3"/>
      <c r="W116" s="3">
        <v>27922</v>
      </c>
      <c r="X116" s="3"/>
      <c r="Y116" s="3">
        <v>0</v>
      </c>
      <c r="Z116" s="3"/>
      <c r="AA116" s="3">
        <v>762229</v>
      </c>
      <c r="AB116" s="3"/>
      <c r="AC116" s="22">
        <f t="shared" si="6"/>
        <v>790151</v>
      </c>
      <c r="AD116" s="16"/>
      <c r="AE116" s="3">
        <f t="shared" si="7"/>
        <v>0</v>
      </c>
    </row>
    <row r="117" spans="1:31">
      <c r="A117" s="16" t="s">
        <v>213</v>
      </c>
      <c r="B117" s="16"/>
      <c r="C117" s="16" t="s">
        <v>214</v>
      </c>
      <c r="E117" s="16">
        <v>138222</v>
      </c>
      <c r="G117" s="3">
        <v>3072063</v>
      </c>
      <c r="H117" s="3"/>
      <c r="I117" s="3">
        <v>0</v>
      </c>
      <c r="J117" s="3"/>
      <c r="K117" s="8">
        <f t="shared" si="4"/>
        <v>552463</v>
      </c>
      <c r="L117" s="3"/>
      <c r="M117" s="3">
        <v>3624526</v>
      </c>
      <c r="N117" s="3"/>
      <c r="O117" s="8">
        <f t="shared" si="5"/>
        <v>865935</v>
      </c>
      <c r="P117" s="3"/>
      <c r="Q117" s="3">
        <v>13062</v>
      </c>
      <c r="R117" s="3"/>
      <c r="S117" s="3">
        <v>878997</v>
      </c>
      <c r="T117" s="3"/>
      <c r="U117" s="3">
        <v>0</v>
      </c>
      <c r="V117" s="3"/>
      <c r="W117" s="3">
        <f>46502+7543</f>
        <v>54045</v>
      </c>
      <c r="X117" s="3"/>
      <c r="Y117" s="3">
        <v>0</v>
      </c>
      <c r="Z117" s="3"/>
      <c r="AA117" s="3">
        <v>2691484</v>
      </c>
      <c r="AB117" s="3"/>
      <c r="AC117" s="22">
        <f t="shared" si="6"/>
        <v>2745529</v>
      </c>
      <c r="AD117" s="16"/>
      <c r="AE117" s="3">
        <f t="shared" si="7"/>
        <v>0</v>
      </c>
    </row>
    <row r="118" spans="1:31" hidden="1">
      <c r="A118" s="3" t="s">
        <v>386</v>
      </c>
      <c r="B118" s="16"/>
      <c r="C118" s="16" t="s">
        <v>216</v>
      </c>
      <c r="E118" s="16">
        <v>49551</v>
      </c>
      <c r="G118" s="3"/>
      <c r="H118" s="3"/>
      <c r="I118" s="3"/>
      <c r="J118" s="3"/>
      <c r="K118" s="8">
        <f t="shared" si="4"/>
        <v>0</v>
      </c>
      <c r="L118" s="3"/>
      <c r="M118" s="3"/>
      <c r="N118" s="3"/>
      <c r="O118" s="8">
        <f t="shared" si="5"/>
        <v>0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22">
        <f t="shared" si="6"/>
        <v>0</v>
      </c>
      <c r="AD118" s="16"/>
      <c r="AE118" s="3">
        <f t="shared" si="7"/>
        <v>0</v>
      </c>
    </row>
    <row r="119" spans="1:31" s="24" customFormat="1">
      <c r="A119" s="16" t="s">
        <v>219</v>
      </c>
      <c r="B119" s="16"/>
      <c r="C119" s="16" t="s">
        <v>220</v>
      </c>
      <c r="E119" s="16">
        <v>49742</v>
      </c>
      <c r="G119" s="3">
        <v>762188</v>
      </c>
      <c r="H119" s="3"/>
      <c r="I119" s="3">
        <v>0</v>
      </c>
      <c r="J119" s="3"/>
      <c r="K119" s="8">
        <f t="shared" si="4"/>
        <v>42725</v>
      </c>
      <c r="L119" s="3"/>
      <c r="M119" s="3">
        <v>804913</v>
      </c>
      <c r="N119" s="3"/>
      <c r="O119" s="8">
        <f t="shared" si="5"/>
        <v>487742</v>
      </c>
      <c r="P119" s="3"/>
      <c r="Q119" s="3">
        <v>0</v>
      </c>
      <c r="R119" s="3"/>
      <c r="S119" s="3">
        <v>487742</v>
      </c>
      <c r="T119" s="3"/>
      <c r="U119" s="3">
        <v>0</v>
      </c>
      <c r="V119" s="3"/>
      <c r="W119" s="3">
        <f>317171-255953</f>
        <v>61218</v>
      </c>
      <c r="X119" s="3"/>
      <c r="Y119" s="3">
        <v>0</v>
      </c>
      <c r="Z119" s="3"/>
      <c r="AA119" s="3">
        <v>255953</v>
      </c>
      <c r="AB119" s="3"/>
      <c r="AC119" s="22">
        <f t="shared" si="6"/>
        <v>317171</v>
      </c>
      <c r="AD119" s="16"/>
      <c r="AE119" s="3">
        <f t="shared" si="7"/>
        <v>0</v>
      </c>
    </row>
    <row r="120" spans="1:31" s="24" customFormat="1">
      <c r="A120" s="16" t="s">
        <v>324</v>
      </c>
      <c r="B120" s="16"/>
      <c r="C120" s="16" t="s">
        <v>217</v>
      </c>
      <c r="E120" s="16">
        <v>125658</v>
      </c>
      <c r="G120" s="3">
        <v>1307858</v>
      </c>
      <c r="H120" s="3"/>
      <c r="I120" s="3">
        <v>0</v>
      </c>
      <c r="J120" s="3"/>
      <c r="K120" s="8">
        <f t="shared" si="4"/>
        <v>100986</v>
      </c>
      <c r="L120" s="3"/>
      <c r="M120" s="3">
        <v>1408844</v>
      </c>
      <c r="N120" s="3"/>
      <c r="O120" s="8">
        <f t="shared" si="5"/>
        <v>788938</v>
      </c>
      <c r="P120" s="3"/>
      <c r="Q120" s="3">
        <v>786</v>
      </c>
      <c r="R120" s="3"/>
      <c r="S120" s="3">
        <v>789724</v>
      </c>
      <c r="T120" s="3"/>
      <c r="U120" s="3">
        <v>0</v>
      </c>
      <c r="V120" s="3"/>
      <c r="W120" s="3">
        <v>68233</v>
      </c>
      <c r="X120" s="3"/>
      <c r="Y120" s="3">
        <v>0</v>
      </c>
      <c r="Z120" s="3"/>
      <c r="AA120" s="3">
        <v>550887</v>
      </c>
      <c r="AB120" s="3"/>
      <c r="AC120" s="22">
        <f t="shared" si="6"/>
        <v>619120</v>
      </c>
      <c r="AD120" s="16"/>
      <c r="AE120" s="3">
        <f t="shared" si="7"/>
        <v>0</v>
      </c>
    </row>
    <row r="121" spans="1:31" s="24" customFormat="1">
      <c r="A121" s="3" t="s">
        <v>323</v>
      </c>
      <c r="B121" s="3"/>
      <c r="C121" s="3" t="s">
        <v>164</v>
      </c>
      <c r="E121" s="16"/>
      <c r="G121" s="3">
        <v>2750820</v>
      </c>
      <c r="H121" s="3"/>
      <c r="I121" s="3">
        <v>0</v>
      </c>
      <c r="J121" s="3"/>
      <c r="K121" s="8">
        <f>+M121-I121-G121</f>
        <v>47110</v>
      </c>
      <c r="L121" s="3"/>
      <c r="M121" s="3">
        <v>2797930</v>
      </c>
      <c r="N121" s="3"/>
      <c r="O121" s="8">
        <f>+S121-Q121</f>
        <v>248479</v>
      </c>
      <c r="P121" s="3"/>
      <c r="Q121" s="3">
        <v>6210</v>
      </c>
      <c r="R121" s="3"/>
      <c r="S121" s="3">
        <v>254689</v>
      </c>
      <c r="T121" s="3"/>
      <c r="U121" s="3">
        <v>0</v>
      </c>
      <c r="V121" s="3"/>
      <c r="W121" s="3">
        <v>144451</v>
      </c>
      <c r="X121" s="3"/>
      <c r="Y121" s="3">
        <v>0</v>
      </c>
      <c r="Z121" s="3"/>
      <c r="AA121" s="3">
        <v>2398790</v>
      </c>
      <c r="AB121" s="3"/>
      <c r="AC121" s="22">
        <f>SUM(W121:AA121)</f>
        <v>2543241</v>
      </c>
      <c r="AD121" s="16"/>
      <c r="AE121" s="3">
        <f>+G121+I121+K121-O121-Q121-AA121-Y121-U121-W121</f>
        <v>0</v>
      </c>
    </row>
    <row r="122" spans="1:31" s="24" customFormat="1">
      <c r="A122" s="16" t="s">
        <v>355</v>
      </c>
      <c r="B122" s="16"/>
      <c r="C122" s="16" t="s">
        <v>221</v>
      </c>
      <c r="E122" s="16">
        <v>49825</v>
      </c>
      <c r="G122" s="3">
        <v>898240</v>
      </c>
      <c r="H122" s="3"/>
      <c r="I122" s="3">
        <v>0</v>
      </c>
      <c r="J122" s="3"/>
      <c r="K122" s="8">
        <f t="shared" si="4"/>
        <v>2924287</v>
      </c>
      <c r="L122" s="3"/>
      <c r="M122" s="3">
        <v>3822527</v>
      </c>
      <c r="N122" s="3"/>
      <c r="O122" s="8">
        <f t="shared" si="5"/>
        <v>2340575</v>
      </c>
      <c r="P122" s="3"/>
      <c r="Q122" s="3">
        <v>1657809</v>
      </c>
      <c r="R122" s="3"/>
      <c r="S122" s="3">
        <v>3998384</v>
      </c>
      <c r="T122" s="3"/>
      <c r="U122" s="3">
        <v>0</v>
      </c>
      <c r="V122" s="3"/>
      <c r="W122" s="3">
        <f>172121+6077</f>
        <v>178198</v>
      </c>
      <c r="X122" s="3"/>
      <c r="Y122" s="3">
        <v>0</v>
      </c>
      <c r="Z122" s="3"/>
      <c r="AA122" s="3">
        <v>-354055</v>
      </c>
      <c r="AB122" s="3"/>
      <c r="AC122" s="22">
        <f t="shared" si="6"/>
        <v>-175857</v>
      </c>
      <c r="AD122" s="16"/>
      <c r="AE122" s="3">
        <f t="shared" si="7"/>
        <v>0</v>
      </c>
    </row>
    <row r="123" spans="1:31" s="24" customFormat="1">
      <c r="A123" s="16" t="s">
        <v>222</v>
      </c>
      <c r="B123" s="16"/>
      <c r="C123" s="16" t="s">
        <v>223</v>
      </c>
      <c r="E123" s="16">
        <v>49965</v>
      </c>
      <c r="G123" s="3">
        <v>6395836</v>
      </c>
      <c r="H123" s="3"/>
      <c r="I123" s="3">
        <v>0</v>
      </c>
      <c r="J123" s="3"/>
      <c r="K123" s="8">
        <f t="shared" si="4"/>
        <v>1836508</v>
      </c>
      <c r="L123" s="3"/>
      <c r="M123" s="3">
        <v>8232344</v>
      </c>
      <c r="N123" s="3"/>
      <c r="O123" s="8">
        <f t="shared" si="5"/>
        <v>1151993</v>
      </c>
      <c r="P123" s="3"/>
      <c r="Q123" s="3">
        <v>1651469</v>
      </c>
      <c r="R123" s="3"/>
      <c r="S123" s="3">
        <v>2803462</v>
      </c>
      <c r="T123" s="3"/>
      <c r="U123" s="3">
        <v>0</v>
      </c>
      <c r="V123" s="3"/>
      <c r="W123" s="3">
        <v>34935</v>
      </c>
      <c r="X123" s="3"/>
      <c r="Y123" s="3">
        <f>97302+250000</f>
        <v>347302</v>
      </c>
      <c r="Z123" s="3"/>
      <c r="AA123" s="3">
        <v>5046645</v>
      </c>
      <c r="AB123" s="3"/>
      <c r="AC123" s="22">
        <f t="shared" si="6"/>
        <v>5428882</v>
      </c>
      <c r="AD123" s="16"/>
      <c r="AE123" s="3">
        <f t="shared" si="7"/>
        <v>0</v>
      </c>
    </row>
    <row r="124" spans="1:31" s="24" customFormat="1">
      <c r="A124" s="16" t="s">
        <v>233</v>
      </c>
      <c r="B124" s="16"/>
      <c r="C124" s="16" t="s">
        <v>234</v>
      </c>
      <c r="E124" s="16">
        <v>50526</v>
      </c>
      <c r="G124" s="3">
        <v>1828063</v>
      </c>
      <c r="H124" s="3"/>
      <c r="I124" s="3">
        <v>0</v>
      </c>
      <c r="J124" s="3"/>
      <c r="K124" s="8">
        <f t="shared" si="4"/>
        <v>1136833</v>
      </c>
      <c r="L124" s="3"/>
      <c r="M124" s="3">
        <v>2964896</v>
      </c>
      <c r="N124" s="3"/>
      <c r="O124" s="8">
        <f t="shared" si="5"/>
        <v>1346041</v>
      </c>
      <c r="P124" s="3"/>
      <c r="Q124" s="3">
        <v>190530</v>
      </c>
      <c r="R124" s="3"/>
      <c r="S124" s="3">
        <v>1536571</v>
      </c>
      <c r="T124" s="3"/>
      <c r="U124" s="3">
        <v>0</v>
      </c>
      <c r="V124" s="3"/>
      <c r="W124" s="3">
        <f>146302+38094</f>
        <v>184396</v>
      </c>
      <c r="X124" s="3"/>
      <c r="Y124" s="3">
        <v>0</v>
      </c>
      <c r="Z124" s="3"/>
      <c r="AA124" s="3">
        <v>1243929</v>
      </c>
      <c r="AB124" s="3"/>
      <c r="AC124" s="22">
        <f t="shared" si="6"/>
        <v>1428325</v>
      </c>
      <c r="AD124" s="16"/>
      <c r="AE124" s="3">
        <f t="shared" si="7"/>
        <v>0</v>
      </c>
    </row>
    <row r="125" spans="1:31" s="24" customFormat="1">
      <c r="A125" s="16" t="s">
        <v>224</v>
      </c>
      <c r="B125" s="16"/>
      <c r="C125" s="16" t="s">
        <v>225</v>
      </c>
      <c r="E125" s="16">
        <v>50088</v>
      </c>
      <c r="G125" s="3">
        <v>6848351</v>
      </c>
      <c r="H125" s="3"/>
      <c r="I125" s="3">
        <v>0</v>
      </c>
      <c r="J125" s="3"/>
      <c r="K125" s="8">
        <f t="shared" si="4"/>
        <v>913573</v>
      </c>
      <c r="L125" s="3"/>
      <c r="M125" s="3">
        <v>7761924</v>
      </c>
      <c r="N125" s="3"/>
      <c r="O125" s="8">
        <f t="shared" si="5"/>
        <v>2297656</v>
      </c>
      <c r="P125" s="3"/>
      <c r="Q125" s="3">
        <v>856539</v>
      </c>
      <c r="R125" s="3"/>
      <c r="S125" s="3">
        <v>3154195</v>
      </c>
      <c r="T125" s="3"/>
      <c r="U125" s="3">
        <v>0</v>
      </c>
      <c r="V125" s="3"/>
      <c r="W125" s="3">
        <f>20682+11673</f>
        <v>32355</v>
      </c>
      <c r="X125" s="3"/>
      <c r="Y125" s="3">
        <v>0</v>
      </c>
      <c r="Z125" s="3"/>
      <c r="AA125" s="3">
        <v>4575374</v>
      </c>
      <c r="AB125" s="3"/>
      <c r="AC125" s="22">
        <f t="shared" si="6"/>
        <v>4607729</v>
      </c>
      <c r="AD125" s="16"/>
      <c r="AE125" s="3">
        <f t="shared" si="7"/>
        <v>0</v>
      </c>
    </row>
    <row r="126" spans="1:31" s="24" customFormat="1" hidden="1">
      <c r="A126" s="3" t="s">
        <v>385</v>
      </c>
      <c r="B126" s="16"/>
      <c r="C126" s="16" t="s">
        <v>227</v>
      </c>
      <c r="E126" s="16">
        <v>50260</v>
      </c>
      <c r="G126" s="3"/>
      <c r="H126" s="3"/>
      <c r="I126" s="3"/>
      <c r="J126" s="3"/>
      <c r="K126" s="8"/>
      <c r="L126" s="3"/>
      <c r="M126" s="3"/>
      <c r="N126" s="3"/>
      <c r="O126" s="8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22"/>
      <c r="AD126" s="16"/>
      <c r="AE126" s="3"/>
    </row>
    <row r="127" spans="1:31" s="24" customFormat="1" hidden="1">
      <c r="A127" s="16" t="s">
        <v>352</v>
      </c>
      <c r="B127" s="16"/>
      <c r="C127" s="16" t="s">
        <v>231</v>
      </c>
      <c r="E127" s="16">
        <v>50401</v>
      </c>
      <c r="G127" s="3"/>
      <c r="H127" s="3"/>
      <c r="I127" s="3"/>
      <c r="J127" s="3"/>
      <c r="K127" s="8">
        <f t="shared" si="4"/>
        <v>0</v>
      </c>
      <c r="L127" s="3"/>
      <c r="M127" s="3"/>
      <c r="N127" s="3"/>
      <c r="O127" s="8">
        <f t="shared" si="5"/>
        <v>0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22">
        <f>SUM(W127:AA127)</f>
        <v>0</v>
      </c>
      <c r="AD127" s="16"/>
      <c r="AE127" s="3">
        <f t="shared" si="7"/>
        <v>0</v>
      </c>
    </row>
    <row r="128" spans="1:31" s="24" customFormat="1" hidden="1">
      <c r="A128" s="3" t="s">
        <v>387</v>
      </c>
      <c r="B128" s="16"/>
      <c r="C128" s="16" t="s">
        <v>232</v>
      </c>
      <c r="E128" s="16">
        <v>50476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3"/>
      <c r="AC128" s="22">
        <f t="shared" ref="AC128:AC129" si="10">SUM(W128:AA128)</f>
        <v>0</v>
      </c>
      <c r="AD128" s="16"/>
      <c r="AE128" s="3">
        <f t="shared" si="7"/>
        <v>0</v>
      </c>
    </row>
    <row r="129" spans="1:31" s="24" customFormat="1">
      <c r="A129" s="16" t="s">
        <v>228</v>
      </c>
      <c r="B129" s="16"/>
      <c r="C129" s="16" t="s">
        <v>317</v>
      </c>
      <c r="E129" s="16">
        <v>134999</v>
      </c>
      <c r="G129" s="3">
        <v>858152</v>
      </c>
      <c r="H129" s="3"/>
      <c r="I129" s="3">
        <v>0</v>
      </c>
      <c r="J129" s="3"/>
      <c r="K129" s="8">
        <f>+M129-I129-G129</f>
        <v>70400</v>
      </c>
      <c r="L129" s="3"/>
      <c r="M129" s="3">
        <v>928552</v>
      </c>
      <c r="N129" s="3"/>
      <c r="O129" s="8">
        <f>+S129-Q129</f>
        <v>484123</v>
      </c>
      <c r="P129" s="3"/>
      <c r="Q129" s="3">
        <v>916</v>
      </c>
      <c r="R129" s="3"/>
      <c r="S129" s="3">
        <v>485039</v>
      </c>
      <c r="T129" s="3"/>
      <c r="U129" s="3">
        <v>0</v>
      </c>
      <c r="V129" s="3"/>
      <c r="W129" s="3">
        <v>8765</v>
      </c>
      <c r="X129" s="3"/>
      <c r="Y129" s="3">
        <v>0</v>
      </c>
      <c r="Z129" s="3"/>
      <c r="AA129" s="3">
        <v>434748</v>
      </c>
      <c r="AB129" s="3"/>
      <c r="AC129" s="22">
        <f t="shared" si="10"/>
        <v>443513</v>
      </c>
      <c r="AD129" s="16"/>
      <c r="AE129" s="3">
        <f>+G129+I129+K129-O129-Q129-AA129-Y129-U129-W129</f>
        <v>0</v>
      </c>
    </row>
    <row r="130" spans="1:31" s="24" customFormat="1">
      <c r="A130" s="16" t="s">
        <v>235</v>
      </c>
      <c r="B130" s="16"/>
      <c r="C130" s="16" t="s">
        <v>236</v>
      </c>
      <c r="E130" s="16">
        <v>50666</v>
      </c>
      <c r="G130" s="3">
        <v>5034707</v>
      </c>
      <c r="H130" s="3"/>
      <c r="I130" s="3">
        <v>0</v>
      </c>
      <c r="J130" s="3"/>
      <c r="K130" s="8">
        <f t="shared" si="4"/>
        <v>73544</v>
      </c>
      <c r="L130" s="3"/>
      <c r="M130" s="3">
        <v>5108251</v>
      </c>
      <c r="N130" s="3"/>
      <c r="O130" s="8">
        <f t="shared" si="5"/>
        <v>1941849</v>
      </c>
      <c r="P130" s="3"/>
      <c r="Q130" s="3">
        <v>3720</v>
      </c>
      <c r="R130" s="3"/>
      <c r="S130" s="3">
        <v>1945569</v>
      </c>
      <c r="T130" s="3"/>
      <c r="U130" s="3">
        <v>0</v>
      </c>
      <c r="V130" s="3"/>
      <c r="W130" s="3">
        <f>4677+131681</f>
        <v>136358</v>
      </c>
      <c r="X130" s="3"/>
      <c r="Y130" s="3">
        <v>0</v>
      </c>
      <c r="Z130" s="3"/>
      <c r="AA130" s="3">
        <v>3026324</v>
      </c>
      <c r="AB130" s="3"/>
      <c r="AC130" s="22">
        <f t="shared" si="6"/>
        <v>3162682</v>
      </c>
      <c r="AD130" s="16"/>
      <c r="AE130" s="3">
        <f>+G130+I130+K130-O130-Q130-AA130-Y130-U130-W130</f>
        <v>0</v>
      </c>
    </row>
    <row r="131" spans="1:31"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31"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31">
      <c r="G133" s="3"/>
      <c r="H133" s="3"/>
      <c r="I133" s="3"/>
      <c r="J133" s="3"/>
      <c r="K133" s="8"/>
      <c r="L133" s="3"/>
      <c r="M133" s="3"/>
      <c r="N133" s="3"/>
      <c r="O133" s="8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22"/>
    </row>
    <row r="134" spans="1:31"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31"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31"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31"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31"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1:31"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1:31"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1:31"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1:31"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</sheetData>
  <mergeCells count="3">
    <mergeCell ref="G7:K7"/>
    <mergeCell ref="O7:Q7"/>
    <mergeCell ref="W7:AA7"/>
  </mergeCells>
  <phoneticPr fontId="3" type="noConversion"/>
  <pageMargins left="0.9" right="0.75" top="0.5" bottom="0.5" header="0.25" footer="0.25"/>
  <pageSetup scale="80" firstPageNumber="22" pageOrder="overThenDown" orientation="portrait" useFirstPageNumber="1" r:id="rId1"/>
  <headerFooter scaleWithDoc="0" alignWithMargins="0">
    <oddFooter>&amp;C&amp;"Times New Roman,Regular"&amp;12&amp;P</oddFooter>
  </headerFooter>
  <rowBreaks count="1" manualBreakCount="1">
    <brk id="66" max="28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S139"/>
  <sheetViews>
    <sheetView zoomScaleNormal="100" zoomScaleSheetLayoutView="70" workbookViewId="0">
      <pane xSplit="6" ySplit="10" topLeftCell="G11" activePane="bottomRight" state="frozen"/>
      <selection pane="topRight" activeCell="G1" sqref="G1"/>
      <selection pane="bottomLeft" activeCell="A10" sqref="A10"/>
      <selection pane="bottomRight" activeCell="G6" sqref="G6"/>
    </sheetView>
  </sheetViews>
  <sheetFormatPr defaultRowHeight="12.75"/>
  <cols>
    <col min="1" max="1" width="40.7109375" style="18" customWidth="1"/>
    <col min="2" max="2" width="1.7109375" style="18" customWidth="1"/>
    <col min="3" max="3" width="8.7109375" style="18" customWidth="1"/>
    <col min="4" max="4" width="1.7109375" style="18" hidden="1" customWidth="1"/>
    <col min="5" max="5" width="11.7109375" style="18" hidden="1" customWidth="1"/>
    <col min="6" max="6" width="1.7109375" style="18" customWidth="1"/>
    <col min="7" max="7" width="10.85546875" style="18" bestFit="1" customWidth="1"/>
    <col min="8" max="8" width="1.7109375" style="18" customWidth="1"/>
    <col min="9" max="9" width="10.85546875" style="18" bestFit="1" customWidth="1"/>
    <col min="10" max="10" width="1.7109375" style="18" customWidth="1"/>
    <col min="11" max="11" width="9.5703125" style="18" bestFit="1" customWidth="1"/>
    <col min="12" max="12" width="1.7109375" style="18" customWidth="1"/>
    <col min="13" max="13" width="10.7109375" style="18" bestFit="1" customWidth="1"/>
    <col min="14" max="14" width="1.7109375" style="18" customWidth="1"/>
    <col min="15" max="15" width="8.140625" style="18" bestFit="1" customWidth="1"/>
    <col min="16" max="16" width="1.7109375" style="18" customWidth="1"/>
    <col min="17" max="17" width="8.5703125" style="18" bestFit="1" customWidth="1"/>
    <col min="18" max="18" width="1.7109375" style="18" customWidth="1"/>
    <col min="19" max="19" width="11" style="18" bestFit="1" customWidth="1"/>
    <col min="20" max="20" width="1.7109375" style="18" customWidth="1"/>
    <col min="21" max="21" width="9.7109375" style="18" customWidth="1"/>
    <col min="22" max="22" width="1.7109375" style="18" customWidth="1"/>
    <col min="23" max="23" width="11" style="18" bestFit="1" customWidth="1"/>
    <col min="24" max="24" width="1.7109375" style="18" customWidth="1"/>
    <col min="25" max="25" width="9.42578125" style="18" customWidth="1"/>
    <col min="26" max="26" width="1.7109375" style="18" hidden="1" customWidth="1"/>
    <col min="27" max="27" width="11.7109375" style="18" hidden="1" customWidth="1"/>
    <col min="28" max="28" width="1.7109375" style="18" customWidth="1"/>
    <col min="29" max="29" width="9.28515625" style="18" customWidth="1"/>
    <col min="30" max="30" width="1.7109375" style="18" customWidth="1"/>
    <col min="31" max="31" width="11.7109375" style="18" bestFit="1" customWidth="1"/>
    <col min="32" max="32" width="1.7109375" style="18" hidden="1" customWidth="1"/>
    <col min="33" max="33" width="11.7109375" style="18" hidden="1" customWidth="1"/>
    <col min="34" max="34" width="1.7109375" style="18" hidden="1" customWidth="1"/>
    <col min="35" max="35" width="11.7109375" style="18" hidden="1" customWidth="1"/>
    <col min="36" max="36" width="1.7109375" style="18" hidden="1" customWidth="1"/>
    <col min="37" max="37" width="11.7109375" style="18" hidden="1" customWidth="1"/>
    <col min="38" max="38" width="1.7109375" style="18" hidden="1" customWidth="1"/>
    <col min="39" max="39" width="11.7109375" style="18" hidden="1" customWidth="1"/>
    <col min="40" max="40" width="1.7109375" style="18" customWidth="1"/>
    <col min="41" max="41" width="10.28515625" style="18" customWidth="1"/>
    <col min="42" max="42" width="1.7109375" style="18" hidden="1" customWidth="1"/>
    <col min="43" max="43" width="11.7109375" style="18" hidden="1" customWidth="1"/>
    <col min="44" max="44" width="1.7109375" style="18" customWidth="1"/>
    <col min="45" max="45" width="14.140625" style="18" bestFit="1" customWidth="1"/>
    <col min="46" max="46" width="1.7109375" style="18" customWidth="1"/>
    <col min="47" max="16384" width="9.140625" style="18"/>
  </cols>
  <sheetData>
    <row r="1" spans="1:45" s="7" customFormat="1" ht="12">
      <c r="A1" s="4" t="s">
        <v>101</v>
      </c>
      <c r="B1" s="4"/>
      <c r="C1" s="4"/>
      <c r="D1" s="4"/>
      <c r="E1" s="4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45" s="7" customFormat="1" ht="12">
      <c r="A2" s="4" t="s">
        <v>358</v>
      </c>
      <c r="B2" s="4"/>
      <c r="C2" s="4"/>
      <c r="D2" s="4"/>
      <c r="E2" s="4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45" s="7" customFormat="1" ht="12">
      <c r="A3" s="46"/>
      <c r="B3" s="4"/>
      <c r="C3" s="4"/>
      <c r="D3" s="4"/>
      <c r="E3" s="4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45" s="3" customFormat="1" ht="12">
      <c r="A4" s="19" t="s">
        <v>316</v>
      </c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45" s="3" customFormat="1" ht="12">
      <c r="A5" s="19"/>
      <c r="B5" s="4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45" s="3" customFormat="1">
      <c r="A6" s="57"/>
      <c r="AS6" s="11" t="s">
        <v>8</v>
      </c>
    </row>
    <row r="7" spans="1:45" s="11" customFormat="1" ht="12">
      <c r="B7" s="2"/>
      <c r="C7" s="2"/>
      <c r="D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73" t="s">
        <v>102</v>
      </c>
      <c r="Z7" s="73"/>
      <c r="AA7" s="73"/>
      <c r="AB7" s="73"/>
      <c r="AC7" s="73"/>
      <c r="AD7" s="73"/>
      <c r="AE7" s="73"/>
      <c r="AF7" s="7"/>
      <c r="AG7" s="61" t="s">
        <v>394</v>
      </c>
      <c r="AH7" s="58"/>
      <c r="AI7" s="58"/>
      <c r="AJ7" s="58"/>
      <c r="AK7" s="58"/>
      <c r="AL7" s="58"/>
      <c r="AM7" s="58"/>
      <c r="AQ7" s="11" t="s">
        <v>8</v>
      </c>
      <c r="AS7" s="11" t="s">
        <v>333</v>
      </c>
    </row>
    <row r="8" spans="1:45" s="11" customFormat="1" ht="12">
      <c r="A8" s="20"/>
      <c r="B8" s="2"/>
      <c r="C8" s="2"/>
      <c r="D8" s="2"/>
      <c r="G8" s="2"/>
      <c r="H8" s="2"/>
      <c r="I8" s="2"/>
      <c r="J8" s="2"/>
      <c r="K8" s="2"/>
      <c r="L8" s="2"/>
      <c r="M8" s="2"/>
      <c r="N8" s="2"/>
      <c r="O8" s="2" t="s">
        <v>29</v>
      </c>
      <c r="P8" s="2"/>
      <c r="Q8" s="2" t="s">
        <v>103</v>
      </c>
      <c r="R8" s="2"/>
      <c r="S8" s="2" t="s">
        <v>31</v>
      </c>
      <c r="T8" s="2"/>
      <c r="U8" s="2"/>
      <c r="V8" s="2"/>
      <c r="W8" s="2"/>
      <c r="X8" s="2"/>
      <c r="AC8" s="11" t="s">
        <v>270</v>
      </c>
      <c r="AE8" s="11" t="s">
        <v>258</v>
      </c>
      <c r="AK8" s="11" t="s">
        <v>266</v>
      </c>
      <c r="AM8" s="11" t="s">
        <v>71</v>
      </c>
      <c r="AQ8" s="11" t="s">
        <v>87</v>
      </c>
      <c r="AS8" s="11" t="s">
        <v>334</v>
      </c>
    </row>
    <row r="9" spans="1:45" s="11" customFormat="1" ht="12">
      <c r="A9" s="2"/>
      <c r="B9" s="2"/>
      <c r="C9" s="2"/>
      <c r="D9" s="2"/>
      <c r="G9" s="2" t="s">
        <v>36</v>
      </c>
      <c r="H9" s="2"/>
      <c r="I9" s="2" t="s">
        <v>104</v>
      </c>
      <c r="J9" s="2"/>
      <c r="K9" s="2"/>
      <c r="L9" s="2"/>
      <c r="M9" s="2" t="s">
        <v>39</v>
      </c>
      <c r="N9" s="2"/>
      <c r="O9" s="2" t="s">
        <v>40</v>
      </c>
      <c r="P9" s="2"/>
      <c r="Q9" s="2" t="s">
        <v>105</v>
      </c>
      <c r="R9" s="2"/>
      <c r="S9" s="2" t="s">
        <v>42</v>
      </c>
      <c r="T9" s="2"/>
      <c r="U9" s="2" t="s">
        <v>71</v>
      </c>
      <c r="V9" s="2"/>
      <c r="W9" s="2" t="s">
        <v>8</v>
      </c>
      <c r="X9" s="2"/>
      <c r="Y9" s="2"/>
      <c r="AC9" s="11" t="s">
        <v>6</v>
      </c>
      <c r="AE9" s="11" t="s">
        <v>260</v>
      </c>
      <c r="AG9" s="11" t="s">
        <v>106</v>
      </c>
      <c r="AI9" s="11" t="s">
        <v>107</v>
      </c>
      <c r="AK9" s="11" t="s">
        <v>267</v>
      </c>
      <c r="AM9" s="11" t="s">
        <v>108</v>
      </c>
      <c r="AO9" s="11" t="s">
        <v>32</v>
      </c>
      <c r="AQ9" s="11" t="s">
        <v>108</v>
      </c>
      <c r="AS9" s="11" t="s">
        <v>335</v>
      </c>
    </row>
    <row r="10" spans="1:45" s="11" customFormat="1" ht="12">
      <c r="A10" s="72" t="s">
        <v>354</v>
      </c>
      <c r="C10" s="72" t="s">
        <v>12</v>
      </c>
      <c r="G10" s="72" t="s">
        <v>318</v>
      </c>
      <c r="H10" s="2"/>
      <c r="I10" s="72" t="s">
        <v>109</v>
      </c>
      <c r="J10" s="2"/>
      <c r="K10" s="72" t="s">
        <v>88</v>
      </c>
      <c r="L10" s="2"/>
      <c r="M10" s="72" t="s">
        <v>51</v>
      </c>
      <c r="N10" s="2"/>
      <c r="O10" s="72" t="s">
        <v>52</v>
      </c>
      <c r="P10" s="2"/>
      <c r="Q10" s="72" t="s">
        <v>110</v>
      </c>
      <c r="R10" s="2"/>
      <c r="S10" s="72" t="s">
        <v>53</v>
      </c>
      <c r="T10" s="2"/>
      <c r="U10" s="72" t="s">
        <v>99</v>
      </c>
      <c r="V10" s="2"/>
      <c r="W10" s="72" t="s">
        <v>33</v>
      </c>
      <c r="X10" s="2"/>
      <c r="Y10" s="72" t="s">
        <v>111</v>
      </c>
      <c r="AA10" s="72" t="s">
        <v>112</v>
      </c>
      <c r="AC10" s="72" t="s">
        <v>259</v>
      </c>
      <c r="AE10" s="72" t="s">
        <v>17</v>
      </c>
      <c r="AG10" s="72" t="s">
        <v>113</v>
      </c>
      <c r="AI10" s="72" t="s">
        <v>113</v>
      </c>
      <c r="AK10" s="72" t="s">
        <v>120</v>
      </c>
      <c r="AM10" s="72" t="s">
        <v>114</v>
      </c>
      <c r="AO10" s="72" t="s">
        <v>282</v>
      </c>
      <c r="AQ10" s="72" t="s">
        <v>114</v>
      </c>
      <c r="AS10" s="72" t="s">
        <v>282</v>
      </c>
    </row>
    <row r="11" spans="1:45" s="11" customFormat="1" ht="12">
      <c r="A11" s="2"/>
      <c r="C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A11" s="2"/>
      <c r="AC11" s="2"/>
      <c r="AE11" s="2"/>
      <c r="AG11" s="2"/>
      <c r="AI11" s="2"/>
      <c r="AK11" s="2"/>
      <c r="AM11" s="2"/>
      <c r="AQ11" s="2"/>
      <c r="AS11" s="2"/>
    </row>
    <row r="12" spans="1:45">
      <c r="A12" s="39" t="s">
        <v>308</v>
      </c>
    </row>
    <row r="13" spans="1:45">
      <c r="A13" s="39"/>
    </row>
    <row r="14" spans="1:45">
      <c r="A14" s="3" t="s">
        <v>359</v>
      </c>
      <c r="B14" s="3"/>
      <c r="C14" s="3" t="s">
        <v>321</v>
      </c>
      <c r="G14" s="34">
        <v>2957825</v>
      </c>
      <c r="H14" s="34"/>
      <c r="I14" s="34">
        <v>6454446</v>
      </c>
      <c r="J14" s="34"/>
      <c r="K14" s="34">
        <v>112975</v>
      </c>
      <c r="L14" s="34"/>
      <c r="M14" s="34">
        <v>723793</v>
      </c>
      <c r="N14" s="34"/>
      <c r="O14" s="34">
        <v>0</v>
      </c>
      <c r="P14" s="34"/>
      <c r="Q14" s="34">
        <v>0</v>
      </c>
      <c r="R14" s="34"/>
      <c r="S14" s="34">
        <v>0</v>
      </c>
      <c r="T14" s="34"/>
      <c r="U14" s="34">
        <f>443516+169881</f>
        <v>613397</v>
      </c>
      <c r="V14" s="34"/>
      <c r="W14" s="15">
        <f>SUM(G14:V14)</f>
        <v>10862436</v>
      </c>
      <c r="X14" s="34"/>
      <c r="Y14" s="34">
        <v>0</v>
      </c>
      <c r="Z14" s="34"/>
      <c r="AA14" s="34">
        <v>0</v>
      </c>
      <c r="AB14" s="34"/>
      <c r="AC14" s="34">
        <v>0</v>
      </c>
      <c r="AD14" s="34"/>
      <c r="AE14" s="34">
        <v>0</v>
      </c>
      <c r="AF14" s="34"/>
      <c r="AG14" s="34">
        <v>0</v>
      </c>
      <c r="AH14" s="34"/>
      <c r="AI14" s="34">
        <v>0</v>
      </c>
      <c r="AJ14" s="34"/>
      <c r="AK14" s="34">
        <v>0</v>
      </c>
      <c r="AL14" s="34"/>
      <c r="AM14" s="34">
        <v>0</v>
      </c>
      <c r="AN14" s="34"/>
      <c r="AO14" s="34">
        <v>0</v>
      </c>
      <c r="AP14" s="34"/>
      <c r="AQ14" s="34">
        <f t="shared" ref="AQ14:AQ45" si="0">SUM(Y14:AO14)</f>
        <v>0</v>
      </c>
      <c r="AR14" s="34"/>
      <c r="AS14" s="34">
        <f t="shared" ref="AS14:AS45" si="1">+AQ14+W14</f>
        <v>10862436</v>
      </c>
    </row>
    <row r="15" spans="1:45">
      <c r="A15" s="3" t="s">
        <v>286</v>
      </c>
      <c r="B15" s="3"/>
      <c r="C15" s="3" t="s">
        <v>151</v>
      </c>
      <c r="D15" s="21"/>
      <c r="E15" s="3">
        <v>62042</v>
      </c>
      <c r="F15" s="21"/>
      <c r="G15" s="3">
        <v>2416935</v>
      </c>
      <c r="H15" s="3"/>
      <c r="I15" s="3">
        <v>3063030</v>
      </c>
      <c r="J15" s="3"/>
      <c r="K15" s="3">
        <v>9864</v>
      </c>
      <c r="L15" s="3"/>
      <c r="M15" s="3">
        <v>17752</v>
      </c>
      <c r="N15" s="3"/>
      <c r="O15" s="3">
        <v>0</v>
      </c>
      <c r="P15" s="3"/>
      <c r="Q15" s="3">
        <v>0</v>
      </c>
      <c r="R15" s="3"/>
      <c r="S15" s="3">
        <v>285</v>
      </c>
      <c r="T15" s="3"/>
      <c r="U15" s="3">
        <f>40232+118473+3025</f>
        <v>161730</v>
      </c>
      <c r="V15" s="3"/>
      <c r="W15" s="8">
        <f>SUM(G15:V15)</f>
        <v>5669596</v>
      </c>
      <c r="X15" s="3"/>
      <c r="Y15" s="3">
        <v>0</v>
      </c>
      <c r="Z15" s="3"/>
      <c r="AA15" s="3">
        <v>0</v>
      </c>
      <c r="AB15" s="3"/>
      <c r="AC15" s="3">
        <v>0</v>
      </c>
      <c r="AD15" s="3"/>
      <c r="AE15" s="3">
        <v>0</v>
      </c>
      <c r="AF15" s="3"/>
      <c r="AG15" s="3">
        <v>0</v>
      </c>
      <c r="AH15" s="3"/>
      <c r="AI15" s="3">
        <v>0</v>
      </c>
      <c r="AJ15" s="3"/>
      <c r="AK15" s="3">
        <v>0</v>
      </c>
      <c r="AL15" s="3"/>
      <c r="AM15" s="3">
        <v>0</v>
      </c>
      <c r="AN15" s="3"/>
      <c r="AO15" s="3">
        <v>0</v>
      </c>
      <c r="AP15" s="3"/>
      <c r="AQ15" s="3">
        <f t="shared" si="0"/>
        <v>0</v>
      </c>
      <c r="AR15" s="3"/>
      <c r="AS15" s="3">
        <f t="shared" si="1"/>
        <v>5669596</v>
      </c>
    </row>
    <row r="16" spans="1:45">
      <c r="A16" s="3" t="s">
        <v>237</v>
      </c>
      <c r="B16" s="3"/>
      <c r="C16" s="3" t="s">
        <v>152</v>
      </c>
      <c r="D16" s="21"/>
      <c r="E16" s="3">
        <v>50815</v>
      </c>
      <c r="F16" s="21"/>
      <c r="G16" s="3">
        <v>3679317</v>
      </c>
      <c r="H16" s="3"/>
      <c r="I16" s="3">
        <v>7012749</v>
      </c>
      <c r="J16" s="3"/>
      <c r="K16" s="3">
        <v>86192</v>
      </c>
      <c r="L16" s="3"/>
      <c r="M16" s="3">
        <v>23283</v>
      </c>
      <c r="N16" s="3"/>
      <c r="O16" s="3">
        <v>0</v>
      </c>
      <c r="P16" s="3"/>
      <c r="Q16" s="3">
        <v>0</v>
      </c>
      <c r="R16" s="3"/>
      <c r="S16" s="3">
        <v>0</v>
      </c>
      <c r="T16" s="3"/>
      <c r="U16" s="3">
        <f>19835+59979</f>
        <v>79814</v>
      </c>
      <c r="V16" s="3"/>
      <c r="W16" s="8">
        <f>SUM(G16:V16)</f>
        <v>10881355</v>
      </c>
      <c r="X16" s="3"/>
      <c r="Y16" s="3">
        <v>0</v>
      </c>
      <c r="Z16" s="3"/>
      <c r="AA16" s="3">
        <v>0</v>
      </c>
      <c r="AB16" s="3"/>
      <c r="AC16" s="3">
        <v>0</v>
      </c>
      <c r="AD16" s="3"/>
      <c r="AE16" s="3">
        <v>0</v>
      </c>
      <c r="AF16" s="3"/>
      <c r="AG16" s="3">
        <v>0</v>
      </c>
      <c r="AH16" s="3"/>
      <c r="AI16" s="3">
        <v>0</v>
      </c>
      <c r="AJ16" s="3"/>
      <c r="AK16" s="3">
        <v>0</v>
      </c>
      <c r="AL16" s="3"/>
      <c r="AM16" s="3">
        <v>0</v>
      </c>
      <c r="AN16" s="3"/>
      <c r="AO16" s="3">
        <v>0</v>
      </c>
      <c r="AP16" s="3"/>
      <c r="AQ16" s="3">
        <f t="shared" si="0"/>
        <v>0</v>
      </c>
      <c r="AR16" s="3"/>
      <c r="AS16" s="3">
        <f t="shared" si="1"/>
        <v>10881355</v>
      </c>
    </row>
    <row r="17" spans="1:45">
      <c r="A17" s="3" t="s">
        <v>360</v>
      </c>
      <c r="B17" s="3"/>
      <c r="C17" s="3" t="s">
        <v>154</v>
      </c>
      <c r="D17" s="21"/>
      <c r="E17" s="3">
        <v>51169</v>
      </c>
      <c r="F17" s="21"/>
      <c r="G17" s="3">
        <v>6208038</v>
      </c>
      <c r="H17" s="3"/>
      <c r="I17" s="3">
        <v>3366377</v>
      </c>
      <c r="J17" s="3"/>
      <c r="K17" s="3">
        <v>47532</v>
      </c>
      <c r="L17" s="3"/>
      <c r="M17" s="3">
        <v>18620</v>
      </c>
      <c r="N17" s="3"/>
      <c r="O17" s="3">
        <v>0</v>
      </c>
      <c r="P17" s="3"/>
      <c r="Q17" s="3">
        <v>0</v>
      </c>
      <c r="R17" s="3"/>
      <c r="S17" s="3">
        <v>0</v>
      </c>
      <c r="T17" s="3"/>
      <c r="U17" s="3">
        <f>83571+80674+38650</f>
        <v>202895</v>
      </c>
      <c r="V17" s="3"/>
      <c r="W17" s="8">
        <f t="shared" ref="W17:W64" si="2">SUM(G17:V17)</f>
        <v>9843462</v>
      </c>
      <c r="X17" s="3"/>
      <c r="Y17" s="3">
        <v>0</v>
      </c>
      <c r="Z17" s="3"/>
      <c r="AA17" s="3">
        <v>0</v>
      </c>
      <c r="AB17" s="3"/>
      <c r="AC17" s="3">
        <v>0</v>
      </c>
      <c r="AD17" s="3"/>
      <c r="AE17" s="3">
        <v>0</v>
      </c>
      <c r="AF17" s="3"/>
      <c r="AG17" s="3">
        <v>0</v>
      </c>
      <c r="AH17" s="3"/>
      <c r="AI17" s="3">
        <v>0</v>
      </c>
      <c r="AJ17" s="3"/>
      <c r="AK17" s="3">
        <v>0</v>
      </c>
      <c r="AL17" s="3"/>
      <c r="AM17" s="3">
        <v>0</v>
      </c>
      <c r="AN17" s="3"/>
      <c r="AO17" s="3">
        <v>0</v>
      </c>
      <c r="AP17" s="3"/>
      <c r="AQ17" s="3">
        <f t="shared" si="0"/>
        <v>0</v>
      </c>
      <c r="AR17" s="3"/>
      <c r="AS17" s="3">
        <f t="shared" si="1"/>
        <v>9843462</v>
      </c>
    </row>
    <row r="18" spans="1:45">
      <c r="A18" s="3" t="s">
        <v>361</v>
      </c>
      <c r="B18" s="3"/>
      <c r="C18" s="3" t="s">
        <v>157</v>
      </c>
      <c r="D18" s="21"/>
      <c r="E18" s="3">
        <v>50856</v>
      </c>
      <c r="F18" s="21"/>
      <c r="G18" s="3">
        <v>1474767</v>
      </c>
      <c r="H18" s="3"/>
      <c r="I18" s="3">
        <v>4613656</v>
      </c>
      <c r="J18" s="3"/>
      <c r="K18" s="3">
        <v>3731</v>
      </c>
      <c r="L18" s="3"/>
      <c r="M18" s="3">
        <v>218738</v>
      </c>
      <c r="N18" s="3"/>
      <c r="O18" s="3">
        <v>2933</v>
      </c>
      <c r="P18" s="3"/>
      <c r="Q18" s="3">
        <v>0</v>
      </c>
      <c r="R18" s="3"/>
      <c r="S18" s="3">
        <v>0</v>
      </c>
      <c r="T18" s="3"/>
      <c r="U18" s="3">
        <f>12000+8368+32153</f>
        <v>52521</v>
      </c>
      <c r="V18" s="3"/>
      <c r="W18" s="8">
        <f t="shared" si="2"/>
        <v>6366346</v>
      </c>
      <c r="X18" s="3"/>
      <c r="Y18" s="3">
        <v>0</v>
      </c>
      <c r="Z18" s="3"/>
      <c r="AA18" s="3">
        <v>0</v>
      </c>
      <c r="AB18" s="3"/>
      <c r="AC18" s="3">
        <v>0</v>
      </c>
      <c r="AD18" s="3"/>
      <c r="AE18" s="3">
        <v>7440</v>
      </c>
      <c r="AF18" s="3"/>
      <c r="AG18" s="3">
        <v>0</v>
      </c>
      <c r="AH18" s="3"/>
      <c r="AI18" s="3">
        <v>0</v>
      </c>
      <c r="AJ18" s="3"/>
      <c r="AK18" s="3">
        <v>0</v>
      </c>
      <c r="AL18" s="3"/>
      <c r="AM18" s="3">
        <v>0</v>
      </c>
      <c r="AN18" s="3"/>
      <c r="AO18" s="3">
        <v>0</v>
      </c>
      <c r="AP18" s="3"/>
      <c r="AQ18" s="3">
        <f t="shared" si="0"/>
        <v>7440</v>
      </c>
      <c r="AR18" s="3"/>
      <c r="AS18" s="3">
        <f t="shared" si="1"/>
        <v>6373786</v>
      </c>
    </row>
    <row r="19" spans="1:45">
      <c r="A19" s="3" t="s">
        <v>256</v>
      </c>
      <c r="B19" s="3"/>
      <c r="C19" s="3" t="s">
        <v>227</v>
      </c>
      <c r="D19" s="21"/>
      <c r="E19" s="3">
        <v>51656</v>
      </c>
      <c r="F19" s="21"/>
      <c r="G19" s="3">
        <v>4087558</v>
      </c>
      <c r="H19" s="3"/>
      <c r="I19" s="3">
        <v>7506034</v>
      </c>
      <c r="J19" s="3"/>
      <c r="K19" s="3">
        <v>130338</v>
      </c>
      <c r="L19" s="3"/>
      <c r="M19" s="3">
        <v>0</v>
      </c>
      <c r="N19" s="3"/>
      <c r="O19" s="3">
        <v>0</v>
      </c>
      <c r="P19" s="3"/>
      <c r="Q19" s="3">
        <v>0</v>
      </c>
      <c r="R19" s="3"/>
      <c r="S19" s="3">
        <v>0</v>
      </c>
      <c r="T19" s="3"/>
      <c r="U19" s="3">
        <f>225283+11080</f>
        <v>236363</v>
      </c>
      <c r="V19" s="3"/>
      <c r="W19" s="8">
        <f t="shared" si="2"/>
        <v>11960293</v>
      </c>
      <c r="X19" s="3"/>
      <c r="Y19" s="3">
        <v>0</v>
      </c>
      <c r="Z19" s="3"/>
      <c r="AA19" s="3">
        <v>0</v>
      </c>
      <c r="AB19" s="3"/>
      <c r="AC19" s="3">
        <v>0</v>
      </c>
      <c r="AD19" s="3"/>
      <c r="AE19" s="3">
        <v>2903</v>
      </c>
      <c r="AF19" s="3"/>
      <c r="AG19" s="3">
        <v>0</v>
      </c>
      <c r="AH19" s="3"/>
      <c r="AI19" s="3">
        <v>0</v>
      </c>
      <c r="AJ19" s="3"/>
      <c r="AK19" s="3">
        <v>0</v>
      </c>
      <c r="AL19" s="3"/>
      <c r="AM19" s="3">
        <v>0</v>
      </c>
      <c r="AN19" s="3"/>
      <c r="AO19" s="3">
        <v>0</v>
      </c>
      <c r="AP19" s="3"/>
      <c r="AQ19" s="3">
        <f t="shared" si="0"/>
        <v>2903</v>
      </c>
      <c r="AR19" s="3"/>
      <c r="AS19" s="3">
        <f t="shared" si="1"/>
        <v>11963196</v>
      </c>
    </row>
    <row r="20" spans="1:45">
      <c r="A20" s="3" t="s">
        <v>337</v>
      </c>
      <c r="B20" s="3"/>
      <c r="C20" s="3" t="s">
        <v>155</v>
      </c>
      <c r="D20" s="21"/>
      <c r="E20" s="3">
        <v>50880</v>
      </c>
      <c r="F20" s="21"/>
      <c r="G20" s="3">
        <v>12692423</v>
      </c>
      <c r="H20" s="3"/>
      <c r="I20" s="3">
        <v>25684713</v>
      </c>
      <c r="J20" s="3"/>
      <c r="K20" s="3">
        <v>115383</v>
      </c>
      <c r="L20" s="3"/>
      <c r="M20" s="3">
        <v>988932</v>
      </c>
      <c r="N20" s="3"/>
      <c r="O20" s="3">
        <v>0</v>
      </c>
      <c r="P20" s="3"/>
      <c r="Q20" s="3">
        <v>0</v>
      </c>
      <c r="R20" s="3"/>
      <c r="S20" s="3">
        <v>0</v>
      </c>
      <c r="T20" s="3"/>
      <c r="U20" s="3">
        <v>239749</v>
      </c>
      <c r="V20" s="3"/>
      <c r="W20" s="8">
        <f t="shared" si="2"/>
        <v>39721200</v>
      </c>
      <c r="X20" s="3"/>
      <c r="Y20" s="3">
        <v>0</v>
      </c>
      <c r="Z20" s="3"/>
      <c r="AA20" s="3">
        <v>0</v>
      </c>
      <c r="AB20" s="3"/>
      <c r="AC20" s="3">
        <v>0</v>
      </c>
      <c r="AD20" s="3"/>
      <c r="AE20" s="3">
        <v>0</v>
      </c>
      <c r="AF20" s="3"/>
      <c r="AG20" s="3">
        <v>0</v>
      </c>
      <c r="AH20" s="3"/>
      <c r="AI20" s="3">
        <v>0</v>
      </c>
      <c r="AJ20" s="3"/>
      <c r="AK20" s="3">
        <v>0</v>
      </c>
      <c r="AL20" s="3"/>
      <c r="AM20" s="3">
        <v>0</v>
      </c>
      <c r="AN20" s="3"/>
      <c r="AO20" s="3">
        <v>0</v>
      </c>
      <c r="AP20" s="3"/>
      <c r="AQ20" s="3">
        <f t="shared" si="0"/>
        <v>0</v>
      </c>
      <c r="AR20" s="3"/>
      <c r="AS20" s="3">
        <f t="shared" si="1"/>
        <v>39721200</v>
      </c>
    </row>
    <row r="21" spans="1:45" s="24" customFormat="1" hidden="1">
      <c r="A21" s="3" t="s">
        <v>340</v>
      </c>
      <c r="B21" s="3"/>
      <c r="C21" s="3" t="s">
        <v>248</v>
      </c>
      <c r="D21" s="27"/>
      <c r="E21" s="3">
        <v>63511</v>
      </c>
      <c r="F21" s="2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8">
        <f t="shared" si="2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>
        <f t="shared" si="0"/>
        <v>0</v>
      </c>
      <c r="AR21" s="3"/>
      <c r="AS21" s="3">
        <f t="shared" si="1"/>
        <v>0</v>
      </c>
    </row>
    <row r="22" spans="1:45">
      <c r="A22" s="3" t="s">
        <v>338</v>
      </c>
      <c r="B22" s="3"/>
      <c r="C22" s="3" t="s">
        <v>165</v>
      </c>
      <c r="D22" s="21"/>
      <c r="E22" s="3">
        <v>50906</v>
      </c>
      <c r="F22" s="21"/>
      <c r="G22" s="3">
        <v>2005811</v>
      </c>
      <c r="H22" s="3"/>
      <c r="I22" s="3">
        <f>3879084+40696</f>
        <v>3919780</v>
      </c>
      <c r="J22" s="3"/>
      <c r="K22" s="3">
        <v>0</v>
      </c>
      <c r="L22" s="3"/>
      <c r="M22" s="3">
        <v>212715</v>
      </c>
      <c r="N22" s="3"/>
      <c r="O22" s="3">
        <v>472</v>
      </c>
      <c r="P22" s="3"/>
      <c r="Q22" s="3">
        <v>0</v>
      </c>
      <c r="R22" s="3"/>
      <c r="S22" s="3">
        <v>0</v>
      </c>
      <c r="T22" s="3"/>
      <c r="U22" s="3">
        <f>45534+860+62500+22008</f>
        <v>130902</v>
      </c>
      <c r="V22" s="3"/>
      <c r="W22" s="8">
        <f t="shared" si="2"/>
        <v>6269680</v>
      </c>
      <c r="X22" s="3"/>
      <c r="Y22" s="3">
        <v>0</v>
      </c>
      <c r="Z22" s="3"/>
      <c r="AA22" s="3">
        <v>0</v>
      </c>
      <c r="AB22" s="3"/>
      <c r="AC22" s="3">
        <v>0</v>
      </c>
      <c r="AD22" s="3"/>
      <c r="AE22" s="3">
        <v>0</v>
      </c>
      <c r="AF22" s="3"/>
      <c r="AG22" s="3">
        <v>0</v>
      </c>
      <c r="AH22" s="3"/>
      <c r="AI22" s="3">
        <v>0</v>
      </c>
      <c r="AJ22" s="3"/>
      <c r="AK22" s="3">
        <v>0</v>
      </c>
      <c r="AL22" s="3"/>
      <c r="AM22" s="3">
        <v>0</v>
      </c>
      <c r="AN22" s="3"/>
      <c r="AO22" s="3">
        <v>0</v>
      </c>
      <c r="AP22" s="3"/>
      <c r="AQ22" s="3">
        <f t="shared" si="0"/>
        <v>0</v>
      </c>
      <c r="AR22" s="3"/>
      <c r="AS22" s="3">
        <f t="shared" si="1"/>
        <v>6269680</v>
      </c>
    </row>
    <row r="23" spans="1:45">
      <c r="A23" s="3" t="s">
        <v>291</v>
      </c>
      <c r="B23" s="3"/>
      <c r="C23" s="3" t="s">
        <v>240</v>
      </c>
      <c r="D23" s="21"/>
      <c r="E23" s="3">
        <v>65227</v>
      </c>
      <c r="F23" s="21"/>
      <c r="G23" s="3">
        <v>1203941</v>
      </c>
      <c r="H23" s="3"/>
      <c r="I23" s="3">
        <v>2377151</v>
      </c>
      <c r="J23" s="3"/>
      <c r="K23" s="3">
        <v>2718</v>
      </c>
      <c r="L23" s="3"/>
      <c r="M23" s="3">
        <v>0</v>
      </c>
      <c r="N23" s="3"/>
      <c r="O23" s="3">
        <v>0</v>
      </c>
      <c r="P23" s="3"/>
      <c r="Q23" s="3">
        <v>0</v>
      </c>
      <c r="R23" s="3"/>
      <c r="S23" s="3">
        <v>0</v>
      </c>
      <c r="T23" s="3"/>
      <c r="U23" s="3">
        <f>10275+17979+19642</f>
        <v>47896</v>
      </c>
      <c r="V23" s="3"/>
      <c r="W23" s="8">
        <f t="shared" si="2"/>
        <v>3631706</v>
      </c>
      <c r="X23" s="3"/>
      <c r="Y23" s="3">
        <v>0</v>
      </c>
      <c r="Z23" s="3"/>
      <c r="AA23" s="3">
        <v>0</v>
      </c>
      <c r="AB23" s="3"/>
      <c r="AC23" s="3">
        <v>33790</v>
      </c>
      <c r="AD23" s="3"/>
      <c r="AE23" s="3">
        <v>0</v>
      </c>
      <c r="AF23" s="3"/>
      <c r="AG23" s="3">
        <v>0</v>
      </c>
      <c r="AH23" s="3"/>
      <c r="AI23" s="3">
        <v>0</v>
      </c>
      <c r="AJ23" s="3"/>
      <c r="AK23" s="3">
        <v>0</v>
      </c>
      <c r="AL23" s="3"/>
      <c r="AM23" s="3">
        <v>0</v>
      </c>
      <c r="AN23" s="3"/>
      <c r="AO23" s="3">
        <v>0</v>
      </c>
      <c r="AP23" s="3"/>
      <c r="AQ23" s="3">
        <f t="shared" si="0"/>
        <v>33790</v>
      </c>
      <c r="AR23" s="3"/>
      <c r="AS23" s="3">
        <f t="shared" si="1"/>
        <v>3665496</v>
      </c>
    </row>
    <row r="24" spans="1:45">
      <c r="A24" s="3" t="s">
        <v>342</v>
      </c>
      <c r="B24" s="3"/>
      <c r="C24" s="3" t="s">
        <v>187</v>
      </c>
      <c r="D24" s="21"/>
      <c r="E24" s="3">
        <v>51201</v>
      </c>
      <c r="F24" s="21"/>
      <c r="G24" s="3">
        <v>6890084</v>
      </c>
      <c r="H24" s="3"/>
      <c r="I24" s="3">
        <v>5780874</v>
      </c>
      <c r="J24" s="3"/>
      <c r="K24" s="3">
        <v>18197</v>
      </c>
      <c r="L24" s="3"/>
      <c r="M24" s="3">
        <v>243492</v>
      </c>
      <c r="N24" s="3"/>
      <c r="O24" s="3">
        <v>0</v>
      </c>
      <c r="P24" s="3"/>
      <c r="Q24" s="3">
        <v>0</v>
      </c>
      <c r="R24" s="3"/>
      <c r="S24" s="3">
        <v>0</v>
      </c>
      <c r="T24" s="3"/>
      <c r="U24" s="3">
        <f>7079+141695</f>
        <v>148774</v>
      </c>
      <c r="V24" s="3"/>
      <c r="W24" s="8">
        <f t="shared" si="2"/>
        <v>13081421</v>
      </c>
      <c r="X24" s="3"/>
      <c r="Y24" s="3">
        <v>0</v>
      </c>
      <c r="Z24" s="3"/>
      <c r="AA24" s="3">
        <v>0</v>
      </c>
      <c r="AB24" s="3"/>
      <c r="AC24" s="3">
        <v>11396</v>
      </c>
      <c r="AD24" s="3"/>
      <c r="AE24" s="3">
        <v>0</v>
      </c>
      <c r="AF24" s="3"/>
      <c r="AG24" s="3">
        <v>0</v>
      </c>
      <c r="AH24" s="3"/>
      <c r="AI24" s="3">
        <v>0</v>
      </c>
      <c r="AJ24" s="3"/>
      <c r="AK24" s="3">
        <v>0</v>
      </c>
      <c r="AL24" s="3"/>
      <c r="AM24" s="3">
        <v>0</v>
      </c>
      <c r="AN24" s="3"/>
      <c r="AO24" s="3">
        <v>0</v>
      </c>
      <c r="AP24" s="3"/>
      <c r="AQ24" s="3">
        <f t="shared" si="0"/>
        <v>11396</v>
      </c>
      <c r="AR24" s="3"/>
      <c r="AS24" s="3">
        <f t="shared" si="1"/>
        <v>13092817</v>
      </c>
    </row>
    <row r="25" spans="1:45">
      <c r="A25" s="3" t="s">
        <v>288</v>
      </c>
      <c r="B25" s="3"/>
      <c r="C25" s="3" t="s">
        <v>167</v>
      </c>
      <c r="D25" s="21"/>
      <c r="E25" s="3">
        <v>50922</v>
      </c>
      <c r="F25" s="21"/>
      <c r="G25" s="3">
        <v>11004709</v>
      </c>
      <c r="H25" s="3"/>
      <c r="I25" s="3">
        <v>4234010</v>
      </c>
      <c r="J25" s="3"/>
      <c r="K25" s="3">
        <v>61972</v>
      </c>
      <c r="L25" s="3"/>
      <c r="M25" s="3">
        <v>66708</v>
      </c>
      <c r="N25" s="3"/>
      <c r="O25" s="3">
        <v>0</v>
      </c>
      <c r="P25" s="3"/>
      <c r="Q25" s="3">
        <v>387</v>
      </c>
      <c r="R25" s="3"/>
      <c r="S25" s="3">
        <v>0</v>
      </c>
      <c r="T25" s="3"/>
      <c r="U25" s="3">
        <f>23933+13585+26225</f>
        <v>63743</v>
      </c>
      <c r="V25" s="3"/>
      <c r="W25" s="8">
        <f t="shared" si="2"/>
        <v>15431529</v>
      </c>
      <c r="X25" s="3"/>
      <c r="Y25" s="3">
        <v>0</v>
      </c>
      <c r="Z25" s="3"/>
      <c r="AA25" s="3">
        <v>0</v>
      </c>
      <c r="AB25" s="3"/>
      <c r="AC25" s="3">
        <v>0</v>
      </c>
      <c r="AD25" s="3"/>
      <c r="AE25" s="3">
        <v>0</v>
      </c>
      <c r="AF25" s="3"/>
      <c r="AG25" s="3">
        <v>0</v>
      </c>
      <c r="AH25" s="3"/>
      <c r="AI25" s="3">
        <v>0</v>
      </c>
      <c r="AJ25" s="3"/>
      <c r="AK25" s="3">
        <v>0</v>
      </c>
      <c r="AL25" s="3"/>
      <c r="AM25" s="3">
        <v>0</v>
      </c>
      <c r="AN25" s="3"/>
      <c r="AO25" s="3">
        <v>0</v>
      </c>
      <c r="AP25" s="3"/>
      <c r="AQ25" s="3">
        <f t="shared" si="0"/>
        <v>0</v>
      </c>
      <c r="AR25" s="3"/>
      <c r="AS25" s="3">
        <f t="shared" si="1"/>
        <v>15431529</v>
      </c>
    </row>
    <row r="26" spans="1:45">
      <c r="A26" s="3" t="s">
        <v>287</v>
      </c>
      <c r="B26" s="3"/>
      <c r="C26" s="3" t="s">
        <v>171</v>
      </c>
      <c r="D26" s="21"/>
      <c r="E26" s="3">
        <v>50989</v>
      </c>
      <c r="F26" s="21"/>
      <c r="G26" s="3">
        <v>8884258</v>
      </c>
      <c r="H26" s="3"/>
      <c r="I26" s="3">
        <f>4063378+22916</f>
        <v>4086294</v>
      </c>
      <c r="J26" s="3"/>
      <c r="K26" s="3">
        <v>372360</v>
      </c>
      <c r="L26" s="3"/>
      <c r="M26" s="3">
        <v>1495790</v>
      </c>
      <c r="N26" s="3"/>
      <c r="O26" s="3">
        <v>0</v>
      </c>
      <c r="P26" s="3"/>
      <c r="Q26" s="3">
        <v>6020</v>
      </c>
      <c r="R26" s="3"/>
      <c r="S26" s="3">
        <v>0</v>
      </c>
      <c r="T26" s="3"/>
      <c r="U26" s="3">
        <f>1104+23611+48759</f>
        <v>73474</v>
      </c>
      <c r="V26" s="3"/>
      <c r="W26" s="8">
        <f t="shared" si="2"/>
        <v>14918196</v>
      </c>
      <c r="X26" s="3"/>
      <c r="Y26" s="3">
        <v>0</v>
      </c>
      <c r="Z26" s="3"/>
      <c r="AA26" s="3">
        <v>0</v>
      </c>
      <c r="AB26" s="3"/>
      <c r="AC26" s="3">
        <v>0</v>
      </c>
      <c r="AD26" s="3"/>
      <c r="AE26" s="3">
        <v>0</v>
      </c>
      <c r="AF26" s="3"/>
      <c r="AG26" s="3">
        <v>0</v>
      </c>
      <c r="AH26" s="3"/>
      <c r="AI26" s="3">
        <v>0</v>
      </c>
      <c r="AJ26" s="3"/>
      <c r="AK26" s="3">
        <v>0</v>
      </c>
      <c r="AL26" s="3"/>
      <c r="AM26" s="3">
        <v>0</v>
      </c>
      <c r="AN26" s="3"/>
      <c r="AO26" s="3">
        <v>0</v>
      </c>
      <c r="AP26" s="3"/>
      <c r="AQ26" s="3">
        <f t="shared" si="0"/>
        <v>0</v>
      </c>
      <c r="AR26" s="3"/>
      <c r="AS26" s="3">
        <f t="shared" si="1"/>
        <v>14918196</v>
      </c>
    </row>
    <row r="27" spans="1:45">
      <c r="A27" s="3" t="s">
        <v>289</v>
      </c>
      <c r="B27" s="3"/>
      <c r="C27" s="3" t="s">
        <v>175</v>
      </c>
      <c r="D27" s="21"/>
      <c r="E27" s="3">
        <v>51003</v>
      </c>
      <c r="F27" s="21"/>
      <c r="G27" s="3">
        <v>13248713</v>
      </c>
      <c r="H27" s="3"/>
      <c r="I27" s="3">
        <v>6652478</v>
      </c>
      <c r="J27" s="3"/>
      <c r="K27" s="3">
        <v>180634</v>
      </c>
      <c r="L27" s="3"/>
      <c r="M27" s="3">
        <v>561171</v>
      </c>
      <c r="N27" s="3"/>
      <c r="O27" s="3">
        <v>0</v>
      </c>
      <c r="P27" s="3"/>
      <c r="Q27" s="3">
        <v>0</v>
      </c>
      <c r="R27" s="3"/>
      <c r="S27" s="3">
        <v>0</v>
      </c>
      <c r="T27" s="3"/>
      <c r="U27" s="3">
        <f>112847+14550</f>
        <v>127397</v>
      </c>
      <c r="V27" s="3"/>
      <c r="W27" s="8">
        <f t="shared" si="2"/>
        <v>20770393</v>
      </c>
      <c r="X27" s="3"/>
      <c r="Y27" s="3">
        <v>0</v>
      </c>
      <c r="Z27" s="3"/>
      <c r="AA27" s="3">
        <v>0</v>
      </c>
      <c r="AB27" s="3"/>
      <c r="AC27" s="3">
        <v>0</v>
      </c>
      <c r="AD27" s="3"/>
      <c r="AE27" s="3">
        <v>18436</v>
      </c>
      <c r="AF27" s="3"/>
      <c r="AG27" s="3">
        <v>0</v>
      </c>
      <c r="AH27" s="3"/>
      <c r="AI27" s="3">
        <v>0</v>
      </c>
      <c r="AJ27" s="3"/>
      <c r="AK27" s="3">
        <v>0</v>
      </c>
      <c r="AL27" s="3"/>
      <c r="AM27" s="3">
        <v>0</v>
      </c>
      <c r="AN27" s="3"/>
      <c r="AO27" s="3">
        <v>0</v>
      </c>
      <c r="AP27" s="3"/>
      <c r="AQ27" s="3">
        <f t="shared" si="0"/>
        <v>18436</v>
      </c>
      <c r="AR27" s="3"/>
      <c r="AS27" s="3">
        <f t="shared" si="1"/>
        <v>20788829</v>
      </c>
    </row>
    <row r="28" spans="1:45">
      <c r="A28" s="3" t="s">
        <v>290</v>
      </c>
      <c r="B28" s="3"/>
      <c r="C28" s="3" t="s">
        <v>172</v>
      </c>
      <c r="D28" s="21"/>
      <c r="E28" s="3">
        <v>51029</v>
      </c>
      <c r="F28" s="21"/>
      <c r="G28" s="3">
        <v>5681530</v>
      </c>
      <c r="H28" s="3"/>
      <c r="I28" s="3">
        <v>6130975</v>
      </c>
      <c r="J28" s="3"/>
      <c r="K28" s="3">
        <v>35823</v>
      </c>
      <c r="L28" s="3"/>
      <c r="M28" s="3">
        <v>12375</v>
      </c>
      <c r="N28" s="3"/>
      <c r="O28" s="3">
        <v>0</v>
      </c>
      <c r="P28" s="3"/>
      <c r="Q28" s="3">
        <v>0</v>
      </c>
      <c r="R28" s="3"/>
      <c r="S28" s="3">
        <v>0</v>
      </c>
      <c r="T28" s="3"/>
      <c r="U28" s="3">
        <v>142385</v>
      </c>
      <c r="V28" s="3"/>
      <c r="W28" s="8">
        <f t="shared" si="2"/>
        <v>12003088</v>
      </c>
      <c r="X28" s="3"/>
      <c r="Y28" s="3">
        <v>0</v>
      </c>
      <c r="Z28" s="3"/>
      <c r="AA28" s="3">
        <v>0</v>
      </c>
      <c r="AB28" s="3"/>
      <c r="AC28" s="3">
        <v>0</v>
      </c>
      <c r="AD28" s="3"/>
      <c r="AE28" s="3">
        <v>0</v>
      </c>
      <c r="AF28" s="3"/>
      <c r="AG28" s="3">
        <v>0</v>
      </c>
      <c r="AH28" s="3"/>
      <c r="AI28" s="3">
        <v>0</v>
      </c>
      <c r="AJ28" s="3"/>
      <c r="AK28" s="3">
        <v>0</v>
      </c>
      <c r="AL28" s="3"/>
      <c r="AM28" s="3">
        <v>0</v>
      </c>
      <c r="AN28" s="3"/>
      <c r="AO28" s="3">
        <v>0</v>
      </c>
      <c r="AP28" s="3"/>
      <c r="AQ28" s="3">
        <f t="shared" si="0"/>
        <v>0</v>
      </c>
      <c r="AR28" s="3"/>
      <c r="AS28" s="3">
        <f t="shared" si="1"/>
        <v>12003088</v>
      </c>
    </row>
    <row r="29" spans="1:45">
      <c r="A29" s="3" t="s">
        <v>292</v>
      </c>
      <c r="B29" s="3"/>
      <c r="C29" s="3" t="s">
        <v>242</v>
      </c>
      <c r="D29" s="21"/>
      <c r="E29" s="3">
        <v>50963</v>
      </c>
      <c r="F29" s="21"/>
      <c r="G29" s="3">
        <v>5109799</v>
      </c>
      <c r="H29" s="3"/>
      <c r="I29" s="3">
        <v>8977979</v>
      </c>
      <c r="J29" s="3"/>
      <c r="K29" s="3">
        <f>170288-17688</f>
        <v>152600</v>
      </c>
      <c r="L29" s="3"/>
      <c r="M29" s="3">
        <v>168096</v>
      </c>
      <c r="N29" s="3"/>
      <c r="O29" s="3">
        <v>0</v>
      </c>
      <c r="P29" s="3"/>
      <c r="Q29" s="3">
        <v>0</v>
      </c>
      <c r="R29" s="3"/>
      <c r="S29" s="3">
        <v>136771</v>
      </c>
      <c r="T29" s="3"/>
      <c r="U29" s="3">
        <f>6288+73302+16593</f>
        <v>96183</v>
      </c>
      <c r="V29" s="3"/>
      <c r="W29" s="8">
        <f t="shared" si="2"/>
        <v>14641428</v>
      </c>
      <c r="X29" s="3"/>
      <c r="Y29" s="3">
        <v>0</v>
      </c>
      <c r="Z29" s="3"/>
      <c r="AA29" s="3">
        <v>0</v>
      </c>
      <c r="AB29" s="3"/>
      <c r="AC29" s="3">
        <v>0</v>
      </c>
      <c r="AD29" s="3"/>
      <c r="AE29" s="3">
        <v>4595</v>
      </c>
      <c r="AF29" s="3"/>
      <c r="AG29" s="3">
        <v>0</v>
      </c>
      <c r="AH29" s="3"/>
      <c r="AI29" s="3">
        <v>0</v>
      </c>
      <c r="AJ29" s="3"/>
      <c r="AK29" s="3">
        <v>0</v>
      </c>
      <c r="AL29" s="3"/>
      <c r="AM29" s="3">
        <v>0</v>
      </c>
      <c r="AN29" s="3"/>
      <c r="AO29" s="3">
        <v>0</v>
      </c>
      <c r="AP29" s="3"/>
      <c r="AQ29" s="3">
        <f t="shared" si="0"/>
        <v>4595</v>
      </c>
      <c r="AR29" s="3"/>
      <c r="AS29" s="3">
        <f t="shared" si="1"/>
        <v>14646023</v>
      </c>
    </row>
    <row r="30" spans="1:45">
      <c r="A30" s="3" t="s">
        <v>241</v>
      </c>
      <c r="B30" s="3"/>
      <c r="C30" s="3" t="s">
        <v>178</v>
      </c>
      <c r="D30" s="21"/>
      <c r="E30" s="3">
        <v>62067</v>
      </c>
      <c r="F30" s="21"/>
      <c r="G30" s="3">
        <v>2431865</v>
      </c>
      <c r="H30" s="3"/>
      <c r="I30" s="3">
        <v>4979260</v>
      </c>
      <c r="J30" s="3"/>
      <c r="K30" s="3">
        <v>190595</v>
      </c>
      <c r="L30" s="3"/>
      <c r="M30" s="3">
        <v>48079</v>
      </c>
      <c r="N30" s="3"/>
      <c r="O30" s="3">
        <v>840</v>
      </c>
      <c r="P30" s="3"/>
      <c r="Q30" s="3">
        <v>0</v>
      </c>
      <c r="R30" s="3"/>
      <c r="S30" s="3">
        <v>56500</v>
      </c>
      <c r="T30" s="3"/>
      <c r="U30" s="3">
        <f>66598+501</f>
        <v>67099</v>
      </c>
      <c r="V30" s="3"/>
      <c r="W30" s="8">
        <f t="shared" si="2"/>
        <v>7774238</v>
      </c>
      <c r="X30" s="3"/>
      <c r="Y30" s="3">
        <v>0</v>
      </c>
      <c r="Z30" s="3"/>
      <c r="AA30" s="3">
        <v>0</v>
      </c>
      <c r="AB30" s="3"/>
      <c r="AC30" s="3">
        <v>0</v>
      </c>
      <c r="AD30" s="3"/>
      <c r="AE30" s="3">
        <v>2546</v>
      </c>
      <c r="AF30" s="3"/>
      <c r="AG30" s="3">
        <v>0</v>
      </c>
      <c r="AH30" s="3"/>
      <c r="AI30" s="3">
        <v>0</v>
      </c>
      <c r="AJ30" s="3"/>
      <c r="AK30" s="3">
        <v>0</v>
      </c>
      <c r="AL30" s="3"/>
      <c r="AM30" s="3">
        <v>0</v>
      </c>
      <c r="AN30" s="3"/>
      <c r="AO30" s="3">
        <v>0</v>
      </c>
      <c r="AP30" s="3"/>
      <c r="AQ30" s="3">
        <f t="shared" si="0"/>
        <v>2546</v>
      </c>
      <c r="AR30" s="3"/>
      <c r="AS30" s="3">
        <f t="shared" si="1"/>
        <v>7776784</v>
      </c>
    </row>
    <row r="31" spans="1:45">
      <c r="A31" s="3" t="s">
        <v>374</v>
      </c>
      <c r="B31" s="3"/>
      <c r="C31" s="3" t="s">
        <v>181</v>
      </c>
      <c r="D31" s="21"/>
      <c r="E31" s="3">
        <v>51060</v>
      </c>
      <c r="F31" s="21"/>
      <c r="G31" s="3">
        <v>36641771</v>
      </c>
      <c r="H31" s="3"/>
      <c r="I31" s="3">
        <v>23928577</v>
      </c>
      <c r="J31" s="3"/>
      <c r="K31" s="3">
        <v>1207420</v>
      </c>
      <c r="L31" s="3"/>
      <c r="M31" s="3">
        <v>105275</v>
      </c>
      <c r="N31" s="3"/>
      <c r="O31" s="3">
        <v>0</v>
      </c>
      <c r="P31" s="3"/>
      <c r="Q31" s="3">
        <v>791963</v>
      </c>
      <c r="R31" s="3"/>
      <c r="S31" s="3">
        <v>0</v>
      </c>
      <c r="T31" s="3"/>
      <c r="U31" s="3">
        <v>402397</v>
      </c>
      <c r="V31" s="3"/>
      <c r="W31" s="8">
        <f t="shared" si="2"/>
        <v>63077403</v>
      </c>
      <c r="X31" s="3"/>
      <c r="Y31" s="3">
        <v>0</v>
      </c>
      <c r="Z31" s="3"/>
      <c r="AA31" s="3">
        <v>0</v>
      </c>
      <c r="AB31" s="3"/>
      <c r="AC31" s="3">
        <v>0</v>
      </c>
      <c r="AD31" s="3"/>
      <c r="AE31" s="3">
        <v>0</v>
      </c>
      <c r="AF31" s="3"/>
      <c r="AG31" s="3">
        <v>0</v>
      </c>
      <c r="AH31" s="3"/>
      <c r="AI31" s="3">
        <v>0</v>
      </c>
      <c r="AJ31" s="3"/>
      <c r="AK31" s="3">
        <v>0</v>
      </c>
      <c r="AL31" s="3"/>
      <c r="AM31" s="3">
        <v>0</v>
      </c>
      <c r="AN31" s="3"/>
      <c r="AO31" s="3">
        <v>0</v>
      </c>
      <c r="AP31" s="3"/>
      <c r="AQ31" s="3">
        <f t="shared" si="0"/>
        <v>0</v>
      </c>
      <c r="AR31" s="3"/>
      <c r="AS31" s="3">
        <f t="shared" si="1"/>
        <v>63077403</v>
      </c>
    </row>
    <row r="32" spans="1:45">
      <c r="A32" s="3" t="s">
        <v>375</v>
      </c>
      <c r="B32" s="3"/>
      <c r="C32" s="3" t="s">
        <v>180</v>
      </c>
      <c r="D32" s="21"/>
      <c r="E32" s="3">
        <v>51045</v>
      </c>
      <c r="F32" s="21"/>
      <c r="G32" s="3">
        <v>7087960</v>
      </c>
      <c r="H32" s="3"/>
      <c r="I32" s="3">
        <v>5595150</v>
      </c>
      <c r="J32" s="3"/>
      <c r="K32" s="3">
        <v>43571</v>
      </c>
      <c r="L32" s="3"/>
      <c r="M32" s="3">
        <v>67917</v>
      </c>
      <c r="N32" s="3"/>
      <c r="O32" s="3">
        <v>0</v>
      </c>
      <c r="P32" s="3"/>
      <c r="Q32" s="3">
        <v>0</v>
      </c>
      <c r="R32" s="3"/>
      <c r="S32" s="3">
        <v>0</v>
      </c>
      <c r="T32" s="3"/>
      <c r="U32" s="3">
        <f>76015+5931</f>
        <v>81946</v>
      </c>
      <c r="V32" s="3"/>
      <c r="W32" s="8">
        <f>SUM(G32:V32)</f>
        <v>12876544</v>
      </c>
      <c r="X32" s="3"/>
      <c r="Y32" s="3">
        <v>0</v>
      </c>
      <c r="Z32" s="3"/>
      <c r="AA32" s="3">
        <v>0</v>
      </c>
      <c r="AB32" s="3"/>
      <c r="AC32" s="3">
        <v>0</v>
      </c>
      <c r="AD32" s="3"/>
      <c r="AE32" s="3">
        <v>0</v>
      </c>
      <c r="AF32" s="3"/>
      <c r="AG32" s="3">
        <v>0</v>
      </c>
      <c r="AH32" s="3"/>
      <c r="AI32" s="3">
        <v>0</v>
      </c>
      <c r="AJ32" s="3"/>
      <c r="AK32" s="3">
        <v>0</v>
      </c>
      <c r="AL32" s="3"/>
      <c r="AM32" s="3">
        <v>0</v>
      </c>
      <c r="AN32" s="3"/>
      <c r="AO32" s="3">
        <v>0</v>
      </c>
      <c r="AP32" s="3"/>
      <c r="AQ32" s="3">
        <f t="shared" si="0"/>
        <v>0</v>
      </c>
      <c r="AR32" s="3"/>
      <c r="AS32" s="3">
        <f t="shared" si="1"/>
        <v>12876544</v>
      </c>
    </row>
    <row r="33" spans="1:45">
      <c r="A33" s="3" t="s">
        <v>243</v>
      </c>
      <c r="B33" s="3"/>
      <c r="C33" s="3" t="s">
        <v>183</v>
      </c>
      <c r="D33" s="21"/>
      <c r="E33" s="3">
        <v>51128</v>
      </c>
      <c r="F33" s="21"/>
      <c r="G33" s="3">
        <v>1511147</v>
      </c>
      <c r="H33" s="3"/>
      <c r="I33" s="3">
        <v>3159686</v>
      </c>
      <c r="J33" s="3"/>
      <c r="K33" s="3">
        <v>318</v>
      </c>
      <c r="L33" s="3"/>
      <c r="M33" s="3">
        <v>218665</v>
      </c>
      <c r="N33" s="3"/>
      <c r="O33" s="3">
        <v>0</v>
      </c>
      <c r="P33" s="3"/>
      <c r="Q33" s="3">
        <v>0</v>
      </c>
      <c r="R33" s="3"/>
      <c r="S33" s="3">
        <v>0</v>
      </c>
      <c r="T33" s="3"/>
      <c r="U33" s="3">
        <v>47378</v>
      </c>
      <c r="V33" s="3"/>
      <c r="W33" s="8">
        <f t="shared" si="2"/>
        <v>4937194</v>
      </c>
      <c r="X33" s="3"/>
      <c r="Y33" s="3">
        <v>0</v>
      </c>
      <c r="Z33" s="3"/>
      <c r="AA33" s="3">
        <v>0</v>
      </c>
      <c r="AB33" s="3"/>
      <c r="AC33" s="3">
        <v>0</v>
      </c>
      <c r="AD33" s="3"/>
      <c r="AE33" s="3">
        <v>0</v>
      </c>
      <c r="AF33" s="3"/>
      <c r="AG33" s="3">
        <v>0</v>
      </c>
      <c r="AH33" s="3"/>
      <c r="AI33" s="3">
        <v>0</v>
      </c>
      <c r="AJ33" s="3"/>
      <c r="AK33" s="3">
        <v>0</v>
      </c>
      <c r="AL33" s="3"/>
      <c r="AM33" s="3">
        <v>0</v>
      </c>
      <c r="AN33" s="3"/>
      <c r="AO33" s="3">
        <v>0</v>
      </c>
      <c r="AP33" s="3"/>
      <c r="AQ33" s="3">
        <f t="shared" si="0"/>
        <v>0</v>
      </c>
      <c r="AR33" s="3"/>
      <c r="AS33" s="3">
        <f t="shared" si="1"/>
        <v>4937194</v>
      </c>
    </row>
    <row r="34" spans="1:45">
      <c r="A34" s="3" t="s">
        <v>293</v>
      </c>
      <c r="B34" s="3"/>
      <c r="C34" s="3" t="s">
        <v>184</v>
      </c>
      <c r="D34" s="21"/>
      <c r="E34" s="3">
        <v>51144</v>
      </c>
      <c r="F34" s="21"/>
      <c r="G34" s="3">
        <v>3109039</v>
      </c>
      <c r="H34" s="3"/>
      <c r="I34" s="3">
        <v>5890984</v>
      </c>
      <c r="J34" s="3"/>
      <c r="K34" s="3">
        <v>188603</v>
      </c>
      <c r="L34" s="3"/>
      <c r="M34" s="3">
        <v>8056</v>
      </c>
      <c r="N34" s="3"/>
      <c r="O34" s="3">
        <v>0</v>
      </c>
      <c r="P34" s="3"/>
      <c r="Q34" s="3">
        <v>77469</v>
      </c>
      <c r="R34" s="3"/>
      <c r="S34" s="3">
        <v>400</v>
      </c>
      <c r="T34" s="3"/>
      <c r="U34" s="3">
        <f>20461+122049+70950</f>
        <v>213460</v>
      </c>
      <c r="V34" s="3"/>
      <c r="W34" s="8">
        <f t="shared" si="2"/>
        <v>9488011</v>
      </c>
      <c r="X34" s="3"/>
      <c r="Y34" s="3">
        <v>0</v>
      </c>
      <c r="Z34" s="3"/>
      <c r="AA34" s="3">
        <v>0</v>
      </c>
      <c r="AB34" s="3"/>
      <c r="AC34" s="3">
        <v>0</v>
      </c>
      <c r="AD34" s="3"/>
      <c r="AE34" s="3">
        <v>0</v>
      </c>
      <c r="AF34" s="3"/>
      <c r="AG34" s="3">
        <v>0</v>
      </c>
      <c r="AH34" s="3"/>
      <c r="AI34" s="3">
        <v>0</v>
      </c>
      <c r="AJ34" s="3"/>
      <c r="AK34" s="3">
        <v>0</v>
      </c>
      <c r="AL34" s="3"/>
      <c r="AM34" s="3">
        <v>0</v>
      </c>
      <c r="AN34" s="3"/>
      <c r="AO34" s="3">
        <v>0</v>
      </c>
      <c r="AP34" s="3"/>
      <c r="AQ34" s="3">
        <f t="shared" si="0"/>
        <v>0</v>
      </c>
      <c r="AR34" s="3"/>
      <c r="AS34" s="3">
        <f t="shared" si="1"/>
        <v>9488011</v>
      </c>
    </row>
    <row r="35" spans="1:45">
      <c r="A35" s="3" t="s">
        <v>244</v>
      </c>
      <c r="B35" s="3"/>
      <c r="C35" s="3" t="s">
        <v>185</v>
      </c>
      <c r="D35" s="21"/>
      <c r="E35" s="3">
        <v>51185</v>
      </c>
      <c r="F35" s="21"/>
      <c r="G35" s="3">
        <v>1475699</v>
      </c>
      <c r="H35" s="3"/>
      <c r="I35" s="3">
        <v>5068871</v>
      </c>
      <c r="J35" s="3"/>
      <c r="K35" s="3">
        <v>0</v>
      </c>
      <c r="L35" s="3"/>
      <c r="M35" s="3">
        <v>20654</v>
      </c>
      <c r="N35" s="3"/>
      <c r="O35" s="3">
        <v>0</v>
      </c>
      <c r="P35" s="3"/>
      <c r="Q35" s="3">
        <v>0</v>
      </c>
      <c r="R35" s="3"/>
      <c r="S35" s="3">
        <v>0</v>
      </c>
      <c r="T35" s="3"/>
      <c r="U35" s="3">
        <f>26584+107928</f>
        <v>134512</v>
      </c>
      <c r="V35" s="3"/>
      <c r="W35" s="8">
        <f t="shared" si="2"/>
        <v>6699736</v>
      </c>
      <c r="X35" s="3"/>
      <c r="Y35" s="3">
        <v>0</v>
      </c>
      <c r="Z35" s="3"/>
      <c r="AA35" s="3">
        <v>0</v>
      </c>
      <c r="AB35" s="3"/>
      <c r="AC35" s="3">
        <v>0</v>
      </c>
      <c r="AD35" s="3"/>
      <c r="AE35" s="3">
        <v>0</v>
      </c>
      <c r="AF35" s="3"/>
      <c r="AG35" s="3">
        <v>0</v>
      </c>
      <c r="AH35" s="3"/>
      <c r="AI35" s="3">
        <v>0</v>
      </c>
      <c r="AJ35" s="3"/>
      <c r="AK35" s="3">
        <v>0</v>
      </c>
      <c r="AL35" s="3"/>
      <c r="AM35" s="3">
        <v>0</v>
      </c>
      <c r="AN35" s="3"/>
      <c r="AO35" s="3">
        <v>0</v>
      </c>
      <c r="AP35" s="3"/>
      <c r="AQ35" s="3">
        <f t="shared" si="0"/>
        <v>0</v>
      </c>
      <c r="AR35" s="3"/>
      <c r="AS35" s="3">
        <f t="shared" si="1"/>
        <v>6699736</v>
      </c>
    </row>
    <row r="36" spans="1:45" hidden="1">
      <c r="A36" s="3" t="s">
        <v>319</v>
      </c>
      <c r="B36" s="3"/>
      <c r="C36" s="3" t="s">
        <v>187</v>
      </c>
      <c r="D36" s="21"/>
      <c r="E36" s="3">
        <v>47977</v>
      </c>
      <c r="F36" s="21"/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v>0</v>
      </c>
      <c r="R36" s="3"/>
      <c r="S36" s="3"/>
      <c r="T36" s="3"/>
      <c r="U36" s="21"/>
      <c r="V36" s="3"/>
      <c r="W36" s="8">
        <f t="shared" si="2"/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>
        <f t="shared" si="0"/>
        <v>0</v>
      </c>
      <c r="AR36" s="3"/>
      <c r="AS36" s="3">
        <f t="shared" si="1"/>
        <v>0</v>
      </c>
    </row>
    <row r="37" spans="1:45">
      <c r="A37" s="3" t="s">
        <v>246</v>
      </c>
      <c r="B37" s="3"/>
      <c r="C37" s="3" t="s">
        <v>150</v>
      </c>
      <c r="D37" s="21"/>
      <c r="E37" s="3">
        <v>51227</v>
      </c>
      <c r="F37" s="21"/>
      <c r="G37" s="3">
        <v>10521294</v>
      </c>
      <c r="H37" s="3"/>
      <c r="I37" s="3">
        <v>9485121</v>
      </c>
      <c r="J37" s="3"/>
      <c r="K37" s="3">
        <v>26179</v>
      </c>
      <c r="L37" s="3"/>
      <c r="M37" s="3">
        <v>112194</v>
      </c>
      <c r="N37" s="3"/>
      <c r="O37" s="3">
        <v>0</v>
      </c>
      <c r="P37" s="3"/>
      <c r="Q37" s="3">
        <v>0</v>
      </c>
      <c r="R37" s="3"/>
      <c r="S37" s="3">
        <v>0</v>
      </c>
      <c r="T37" s="3"/>
      <c r="U37" s="3">
        <v>541257</v>
      </c>
      <c r="V37" s="3"/>
      <c r="W37" s="8">
        <f t="shared" si="2"/>
        <v>20686045</v>
      </c>
      <c r="X37" s="3"/>
      <c r="Y37" s="3">
        <v>0</v>
      </c>
      <c r="Z37" s="3"/>
      <c r="AA37" s="3">
        <v>0</v>
      </c>
      <c r="AB37" s="3"/>
      <c r="AC37" s="3">
        <v>0</v>
      </c>
      <c r="AD37" s="3"/>
      <c r="AE37" s="3">
        <v>0</v>
      </c>
      <c r="AF37" s="3"/>
      <c r="AG37" s="3">
        <v>0</v>
      </c>
      <c r="AH37" s="3"/>
      <c r="AI37" s="3">
        <v>0</v>
      </c>
      <c r="AJ37" s="3"/>
      <c r="AK37" s="3">
        <v>0</v>
      </c>
      <c r="AL37" s="3"/>
      <c r="AM37" s="3">
        <v>0</v>
      </c>
      <c r="AN37" s="3"/>
      <c r="AO37" s="3">
        <v>0</v>
      </c>
      <c r="AP37" s="3"/>
      <c r="AQ37" s="3">
        <f t="shared" si="0"/>
        <v>0</v>
      </c>
      <c r="AR37" s="3"/>
      <c r="AS37" s="3">
        <f t="shared" si="1"/>
        <v>20686045</v>
      </c>
    </row>
    <row r="38" spans="1:45" s="24" customFormat="1">
      <c r="A38" s="3" t="s">
        <v>249</v>
      </c>
      <c r="B38" s="3"/>
      <c r="C38" s="3" t="s">
        <v>191</v>
      </c>
      <c r="D38" s="27"/>
      <c r="E38" s="3">
        <v>51243</v>
      </c>
      <c r="F38" s="27"/>
      <c r="G38" s="3">
        <v>6100209</v>
      </c>
      <c r="H38" s="3"/>
      <c r="I38" s="3">
        <v>4331541</v>
      </c>
      <c r="J38" s="3"/>
      <c r="K38" s="3">
        <v>426766</v>
      </c>
      <c r="L38" s="3"/>
      <c r="M38" s="3">
        <v>237135</v>
      </c>
      <c r="N38" s="3"/>
      <c r="O38" s="3">
        <v>0</v>
      </c>
      <c r="P38" s="3"/>
      <c r="Q38" s="3">
        <v>0</v>
      </c>
      <c r="R38" s="3"/>
      <c r="S38" s="3">
        <v>1886</v>
      </c>
      <c r="T38" s="3"/>
      <c r="U38" s="3">
        <f>36644+8243+11479</f>
        <v>56366</v>
      </c>
      <c r="V38" s="3"/>
      <c r="W38" s="8">
        <f t="shared" si="2"/>
        <v>11153903</v>
      </c>
      <c r="X38" s="3"/>
      <c r="Y38" s="3">
        <v>0</v>
      </c>
      <c r="Z38" s="3"/>
      <c r="AA38" s="3">
        <v>0</v>
      </c>
      <c r="AB38" s="3"/>
      <c r="AC38" s="3">
        <v>0</v>
      </c>
      <c r="AD38" s="3"/>
      <c r="AE38" s="3">
        <v>0</v>
      </c>
      <c r="AF38" s="3"/>
      <c r="AG38" s="3">
        <v>0</v>
      </c>
      <c r="AH38" s="3"/>
      <c r="AI38" s="3">
        <v>0</v>
      </c>
      <c r="AJ38" s="3"/>
      <c r="AK38" s="3">
        <v>0</v>
      </c>
      <c r="AL38" s="3"/>
      <c r="AM38" s="3">
        <v>0</v>
      </c>
      <c r="AN38" s="3"/>
      <c r="AO38" s="3">
        <v>2156219</v>
      </c>
      <c r="AP38" s="3"/>
      <c r="AQ38" s="3">
        <f t="shared" si="0"/>
        <v>2156219</v>
      </c>
      <c r="AR38" s="3"/>
      <c r="AS38" s="3">
        <f t="shared" si="1"/>
        <v>13310122</v>
      </c>
    </row>
    <row r="39" spans="1:45" s="24" customFormat="1">
      <c r="A39" s="3" t="s">
        <v>294</v>
      </c>
      <c r="B39" s="3"/>
      <c r="C39" s="3" t="s">
        <v>207</v>
      </c>
      <c r="D39" s="27"/>
      <c r="E39" s="3">
        <v>51391</v>
      </c>
      <c r="F39" s="27"/>
      <c r="G39" s="3">
        <v>6733523</v>
      </c>
      <c r="H39" s="3"/>
      <c r="I39" s="3">
        <v>5947724</v>
      </c>
      <c r="J39" s="3"/>
      <c r="K39" s="3">
        <v>491456</v>
      </c>
      <c r="L39" s="3"/>
      <c r="M39" s="3">
        <v>101789</v>
      </c>
      <c r="N39" s="3"/>
      <c r="O39" s="3">
        <v>0</v>
      </c>
      <c r="P39" s="3"/>
      <c r="Q39" s="3">
        <v>0</v>
      </c>
      <c r="R39" s="3"/>
      <c r="S39" s="3">
        <v>8414</v>
      </c>
      <c r="T39" s="3"/>
      <c r="U39" s="3">
        <f>7702+39616+17080</f>
        <v>64398</v>
      </c>
      <c r="V39" s="3"/>
      <c r="W39" s="8">
        <f t="shared" si="2"/>
        <v>13347304</v>
      </c>
      <c r="X39" s="3"/>
      <c r="Y39" s="3">
        <v>0</v>
      </c>
      <c r="Z39" s="3"/>
      <c r="AA39" s="3">
        <v>0</v>
      </c>
      <c r="AB39" s="3"/>
      <c r="AC39" s="3">
        <v>0</v>
      </c>
      <c r="AD39" s="3"/>
      <c r="AE39" s="3">
        <v>0</v>
      </c>
      <c r="AF39" s="3"/>
      <c r="AG39" s="3">
        <v>0</v>
      </c>
      <c r="AH39" s="3"/>
      <c r="AI39" s="3">
        <v>0</v>
      </c>
      <c r="AJ39" s="3"/>
      <c r="AK39" s="3">
        <v>0</v>
      </c>
      <c r="AL39" s="3"/>
      <c r="AM39" s="3">
        <v>0</v>
      </c>
      <c r="AN39" s="3"/>
      <c r="AO39" s="3">
        <v>0</v>
      </c>
      <c r="AP39" s="3"/>
      <c r="AQ39" s="3">
        <f t="shared" si="0"/>
        <v>0</v>
      </c>
      <c r="AR39" s="3"/>
      <c r="AS39" s="3">
        <f t="shared" si="1"/>
        <v>13347304</v>
      </c>
    </row>
    <row r="40" spans="1:45" s="24" customFormat="1">
      <c r="A40" s="3" t="s">
        <v>252</v>
      </c>
      <c r="B40" s="3"/>
      <c r="C40" s="3" t="s">
        <v>193</v>
      </c>
      <c r="D40" s="27"/>
      <c r="E40" s="3">
        <v>62109</v>
      </c>
      <c r="F40" s="27"/>
      <c r="G40" s="3">
        <v>7881950</v>
      </c>
      <c r="H40" s="3"/>
      <c r="I40" s="3">
        <v>8172896</v>
      </c>
      <c r="J40" s="3"/>
      <c r="K40" s="3">
        <v>9685</v>
      </c>
      <c r="L40" s="3"/>
      <c r="M40" s="3">
        <v>13846</v>
      </c>
      <c r="N40" s="3"/>
      <c r="O40" s="3">
        <v>0</v>
      </c>
      <c r="P40" s="3"/>
      <c r="Q40" s="3">
        <v>20029</v>
      </c>
      <c r="R40" s="3"/>
      <c r="S40" s="3">
        <v>0</v>
      </c>
      <c r="T40" s="3"/>
      <c r="U40" s="3">
        <f>2420+191614+150645</f>
        <v>344679</v>
      </c>
      <c r="V40" s="3"/>
      <c r="W40" s="8">
        <f t="shared" si="2"/>
        <v>16443085</v>
      </c>
      <c r="X40" s="3"/>
      <c r="Y40" s="3">
        <v>0</v>
      </c>
      <c r="Z40" s="3"/>
      <c r="AA40" s="3">
        <v>0</v>
      </c>
      <c r="AB40" s="3"/>
      <c r="AC40" s="3">
        <v>0</v>
      </c>
      <c r="AD40" s="3"/>
      <c r="AE40" s="3">
        <v>0</v>
      </c>
      <c r="AF40" s="3"/>
      <c r="AG40" s="3">
        <v>0</v>
      </c>
      <c r="AH40" s="3"/>
      <c r="AI40" s="3">
        <v>0</v>
      </c>
      <c r="AJ40" s="3"/>
      <c r="AK40" s="3">
        <v>0</v>
      </c>
      <c r="AL40" s="3"/>
      <c r="AM40" s="3">
        <v>0</v>
      </c>
      <c r="AN40" s="3"/>
      <c r="AO40" s="3">
        <v>0</v>
      </c>
      <c r="AP40" s="3"/>
      <c r="AQ40" s="3">
        <f t="shared" si="0"/>
        <v>0</v>
      </c>
      <c r="AR40" s="3"/>
      <c r="AS40" s="3">
        <f t="shared" si="1"/>
        <v>16443085</v>
      </c>
    </row>
    <row r="41" spans="1:45" s="24" customFormat="1">
      <c r="A41" s="3" t="s">
        <v>295</v>
      </c>
      <c r="B41" s="3"/>
      <c r="C41" s="3" t="s">
        <v>199</v>
      </c>
      <c r="D41" s="27"/>
      <c r="E41" s="3">
        <v>51284</v>
      </c>
      <c r="F41" s="27"/>
      <c r="G41" s="3">
        <v>12514593</v>
      </c>
      <c r="H41" s="3"/>
      <c r="I41" s="3">
        <v>15810403</v>
      </c>
      <c r="J41" s="3"/>
      <c r="K41" s="3">
        <v>9599</v>
      </c>
      <c r="L41" s="3"/>
      <c r="M41" s="3">
        <v>62368</v>
      </c>
      <c r="N41" s="3"/>
      <c r="O41" s="3">
        <v>11863</v>
      </c>
      <c r="P41" s="3"/>
      <c r="Q41" s="3">
        <v>0</v>
      </c>
      <c r="R41" s="3"/>
      <c r="S41" s="3">
        <v>0</v>
      </c>
      <c r="T41" s="3"/>
      <c r="U41" s="3">
        <f>54003+481445</f>
        <v>535448</v>
      </c>
      <c r="V41" s="3"/>
      <c r="W41" s="8">
        <f t="shared" si="2"/>
        <v>28944274</v>
      </c>
      <c r="X41" s="3"/>
      <c r="Y41" s="3">
        <v>0</v>
      </c>
      <c r="Z41" s="3"/>
      <c r="AA41" s="3">
        <v>0</v>
      </c>
      <c r="AB41" s="3"/>
      <c r="AC41" s="3">
        <v>0</v>
      </c>
      <c r="AD41" s="3"/>
      <c r="AE41" s="3">
        <v>23782</v>
      </c>
      <c r="AF41" s="3"/>
      <c r="AG41" s="3">
        <v>0</v>
      </c>
      <c r="AH41" s="3"/>
      <c r="AI41" s="3">
        <v>0</v>
      </c>
      <c r="AJ41" s="3"/>
      <c r="AK41" s="3">
        <v>0</v>
      </c>
      <c r="AL41" s="3"/>
      <c r="AM41" s="3">
        <v>0</v>
      </c>
      <c r="AN41" s="3"/>
      <c r="AO41" s="3">
        <v>0</v>
      </c>
      <c r="AP41" s="3"/>
      <c r="AQ41" s="3">
        <f t="shared" si="0"/>
        <v>23782</v>
      </c>
      <c r="AR41" s="3"/>
      <c r="AS41" s="3">
        <f t="shared" si="1"/>
        <v>28968056</v>
      </c>
    </row>
    <row r="42" spans="1:45" s="24" customFormat="1">
      <c r="A42" s="3" t="s">
        <v>296</v>
      </c>
      <c r="B42" s="3"/>
      <c r="C42" s="3" t="s">
        <v>201</v>
      </c>
      <c r="D42" s="27"/>
      <c r="E42" s="3">
        <v>51300</v>
      </c>
      <c r="F42" s="27"/>
      <c r="G42" s="3">
        <v>4693178</v>
      </c>
      <c r="H42" s="3"/>
      <c r="I42" s="3">
        <v>8740175</v>
      </c>
      <c r="J42" s="3"/>
      <c r="K42" s="3">
        <v>174006</v>
      </c>
      <c r="L42" s="3"/>
      <c r="M42" s="3">
        <v>52255</v>
      </c>
      <c r="N42" s="3"/>
      <c r="O42" s="3">
        <v>0</v>
      </c>
      <c r="P42" s="3"/>
      <c r="Q42" s="3">
        <v>35428</v>
      </c>
      <c r="R42" s="3"/>
      <c r="S42" s="3">
        <v>0</v>
      </c>
      <c r="T42" s="3"/>
      <c r="U42" s="3">
        <f>660+290718+68378</f>
        <v>359756</v>
      </c>
      <c r="V42" s="3"/>
      <c r="W42" s="8">
        <f t="shared" si="2"/>
        <v>14054798</v>
      </c>
      <c r="X42" s="3"/>
      <c r="Y42" s="3">
        <v>0</v>
      </c>
      <c r="Z42" s="3"/>
      <c r="AA42" s="3">
        <v>0</v>
      </c>
      <c r="AB42" s="3"/>
      <c r="AC42" s="3">
        <v>43150</v>
      </c>
      <c r="AD42" s="3"/>
      <c r="AE42" s="3">
        <v>0</v>
      </c>
      <c r="AF42" s="3"/>
      <c r="AG42" s="3">
        <v>0</v>
      </c>
      <c r="AH42" s="3"/>
      <c r="AI42" s="3">
        <v>0</v>
      </c>
      <c r="AJ42" s="3"/>
      <c r="AK42" s="3">
        <v>0</v>
      </c>
      <c r="AL42" s="3"/>
      <c r="AM42" s="3">
        <v>0</v>
      </c>
      <c r="AN42" s="3"/>
      <c r="AO42" s="3">
        <v>0</v>
      </c>
      <c r="AP42" s="3"/>
      <c r="AQ42" s="3">
        <f t="shared" si="0"/>
        <v>43150</v>
      </c>
      <c r="AR42" s="3"/>
      <c r="AS42" s="3">
        <f t="shared" si="1"/>
        <v>14097948</v>
      </c>
    </row>
    <row r="43" spans="1:45">
      <c r="A43" s="3" t="s">
        <v>245</v>
      </c>
      <c r="B43" s="3"/>
      <c r="C43" s="3" t="s">
        <v>188</v>
      </c>
      <c r="D43" s="21"/>
      <c r="E43" s="3">
        <v>51334</v>
      </c>
      <c r="F43" s="21"/>
      <c r="G43" s="3">
        <v>5194644</v>
      </c>
      <c r="H43" s="3"/>
      <c r="I43" s="3">
        <v>6611303</v>
      </c>
      <c r="J43" s="3"/>
      <c r="K43" s="3">
        <v>70688</v>
      </c>
      <c r="L43" s="3"/>
      <c r="M43" s="3">
        <v>19178</v>
      </c>
      <c r="N43" s="3"/>
      <c r="O43" s="3">
        <v>0</v>
      </c>
      <c r="P43" s="3"/>
      <c r="Q43" s="3">
        <v>0</v>
      </c>
      <c r="R43" s="3"/>
      <c r="S43" s="3">
        <v>0</v>
      </c>
      <c r="T43" s="3"/>
      <c r="U43" s="3">
        <v>241106</v>
      </c>
      <c r="V43" s="3"/>
      <c r="W43" s="8">
        <f t="shared" si="2"/>
        <v>12136919</v>
      </c>
      <c r="X43" s="3"/>
      <c r="Y43" s="3">
        <v>0</v>
      </c>
      <c r="Z43" s="3"/>
      <c r="AA43" s="3">
        <v>0</v>
      </c>
      <c r="AB43" s="3"/>
      <c r="AC43" s="3">
        <v>0</v>
      </c>
      <c r="AD43" s="3"/>
      <c r="AE43" s="3">
        <v>0</v>
      </c>
      <c r="AF43" s="3"/>
      <c r="AG43" s="3">
        <v>0</v>
      </c>
      <c r="AH43" s="3"/>
      <c r="AI43" s="3">
        <v>0</v>
      </c>
      <c r="AJ43" s="3"/>
      <c r="AK43" s="3">
        <v>0</v>
      </c>
      <c r="AL43" s="3"/>
      <c r="AM43" s="3">
        <v>0</v>
      </c>
      <c r="AN43" s="3"/>
      <c r="AO43" s="3">
        <v>0</v>
      </c>
      <c r="AP43" s="3"/>
      <c r="AQ43" s="3">
        <f t="shared" si="0"/>
        <v>0</v>
      </c>
      <c r="AR43" s="3"/>
      <c r="AS43" s="3">
        <f t="shared" si="1"/>
        <v>12136919</v>
      </c>
    </row>
    <row r="44" spans="1:45" s="24" customFormat="1">
      <c r="A44" s="3" t="s">
        <v>297</v>
      </c>
      <c r="B44" s="3"/>
      <c r="C44" s="3" t="s">
        <v>236</v>
      </c>
      <c r="D44" s="27"/>
      <c r="E44" s="3">
        <v>51359</v>
      </c>
      <c r="F44" s="27"/>
      <c r="G44" s="3">
        <v>10414754</v>
      </c>
      <c r="H44" s="3"/>
      <c r="I44" s="3">
        <v>16069627</v>
      </c>
      <c r="J44" s="3"/>
      <c r="K44" s="3">
        <v>23595</v>
      </c>
      <c r="L44" s="3"/>
      <c r="M44" s="3">
        <v>12575</v>
      </c>
      <c r="N44" s="3"/>
      <c r="O44" s="3">
        <v>23718</v>
      </c>
      <c r="P44" s="3"/>
      <c r="Q44" s="3">
        <v>262509</v>
      </c>
      <c r="R44" s="3"/>
      <c r="S44" s="3">
        <v>18995</v>
      </c>
      <c r="T44" s="3"/>
      <c r="U44" s="3">
        <f>235169+3849+5478</f>
        <v>244496</v>
      </c>
      <c r="V44" s="3"/>
      <c r="W44" s="8">
        <f t="shared" si="2"/>
        <v>27070269</v>
      </c>
      <c r="X44" s="3"/>
      <c r="Y44" s="3">
        <v>0</v>
      </c>
      <c r="Z44" s="3"/>
      <c r="AA44" s="3">
        <v>0</v>
      </c>
      <c r="AB44" s="3"/>
      <c r="AC44" s="3">
        <v>10667</v>
      </c>
      <c r="AD44" s="3"/>
      <c r="AE44" s="3">
        <v>0</v>
      </c>
      <c r="AF44" s="3"/>
      <c r="AG44" s="3">
        <v>0</v>
      </c>
      <c r="AH44" s="3"/>
      <c r="AI44" s="3">
        <v>0</v>
      </c>
      <c r="AJ44" s="3"/>
      <c r="AK44" s="3">
        <v>0</v>
      </c>
      <c r="AL44" s="3"/>
      <c r="AM44" s="3">
        <v>0</v>
      </c>
      <c r="AN44" s="3"/>
      <c r="AO44" s="3">
        <v>0</v>
      </c>
      <c r="AP44" s="3"/>
      <c r="AQ44" s="3">
        <f t="shared" si="0"/>
        <v>10667</v>
      </c>
      <c r="AR44" s="3"/>
      <c r="AS44" s="3">
        <f t="shared" si="1"/>
        <v>27080936</v>
      </c>
    </row>
    <row r="45" spans="1:45" s="24" customFormat="1">
      <c r="A45" s="3" t="s">
        <v>298</v>
      </c>
      <c r="B45" s="3"/>
      <c r="C45" s="3" t="s">
        <v>214</v>
      </c>
      <c r="D45" s="27"/>
      <c r="E45" s="3">
        <v>51433</v>
      </c>
      <c r="F45" s="27"/>
      <c r="G45" s="3">
        <v>5012013</v>
      </c>
      <c r="H45" s="3"/>
      <c r="I45" s="3">
        <v>10852281</v>
      </c>
      <c r="J45" s="3"/>
      <c r="K45" s="3">
        <v>53838</v>
      </c>
      <c r="L45" s="3"/>
      <c r="M45" s="3">
        <v>3965</v>
      </c>
      <c r="N45" s="3"/>
      <c r="O45" s="3">
        <v>0</v>
      </c>
      <c r="P45" s="3"/>
      <c r="Q45" s="3">
        <v>566</v>
      </c>
      <c r="R45" s="3"/>
      <c r="S45" s="3">
        <v>0</v>
      </c>
      <c r="T45" s="3"/>
      <c r="U45" s="3">
        <f>65400+87281+1236</f>
        <v>153917</v>
      </c>
      <c r="V45" s="3"/>
      <c r="W45" s="8">
        <f t="shared" si="2"/>
        <v>16076580</v>
      </c>
      <c r="X45" s="3"/>
      <c r="Y45" s="3">
        <v>396937</v>
      </c>
      <c r="Z45" s="3"/>
      <c r="AA45" s="3">
        <v>0</v>
      </c>
      <c r="AB45" s="3"/>
      <c r="AC45" s="3">
        <v>0</v>
      </c>
      <c r="AD45" s="3"/>
      <c r="AE45" s="3">
        <v>0</v>
      </c>
      <c r="AF45" s="3"/>
      <c r="AG45" s="3">
        <v>0</v>
      </c>
      <c r="AH45" s="3"/>
      <c r="AI45" s="3">
        <v>0</v>
      </c>
      <c r="AJ45" s="3"/>
      <c r="AK45" s="3">
        <v>0</v>
      </c>
      <c r="AL45" s="3"/>
      <c r="AM45" s="3">
        <v>0</v>
      </c>
      <c r="AN45" s="3"/>
      <c r="AO45" s="3">
        <v>888297</v>
      </c>
      <c r="AP45" s="3"/>
      <c r="AQ45" s="3">
        <f t="shared" si="0"/>
        <v>1285234</v>
      </c>
      <c r="AR45" s="3"/>
      <c r="AS45" s="3">
        <f t="shared" si="1"/>
        <v>17361814</v>
      </c>
    </row>
    <row r="46" spans="1:45" s="24" customFormat="1">
      <c r="A46" s="3" t="s">
        <v>299</v>
      </c>
      <c r="B46" s="3"/>
      <c r="C46" s="3" t="s">
        <v>254</v>
      </c>
      <c r="D46" s="27"/>
      <c r="E46" s="3">
        <v>51375</v>
      </c>
      <c r="F46" s="27"/>
      <c r="G46" s="3">
        <v>847009</v>
      </c>
      <c r="H46" s="3"/>
      <c r="I46" s="3">
        <v>4978019</v>
      </c>
      <c r="J46" s="3"/>
      <c r="K46" s="3">
        <v>22314</v>
      </c>
      <c r="L46" s="3"/>
      <c r="M46" s="3">
        <v>118897</v>
      </c>
      <c r="N46" s="3"/>
      <c r="O46" s="3">
        <v>0</v>
      </c>
      <c r="P46" s="3"/>
      <c r="Q46" s="3">
        <v>516</v>
      </c>
      <c r="R46" s="3"/>
      <c r="S46" s="3">
        <v>4706</v>
      </c>
      <c r="T46" s="3"/>
      <c r="U46" s="3">
        <f>88473+30600+66447</f>
        <v>185520</v>
      </c>
      <c r="V46" s="3"/>
      <c r="W46" s="8">
        <f t="shared" si="2"/>
        <v>6156981</v>
      </c>
      <c r="X46" s="3"/>
      <c r="Y46" s="3">
        <v>0</v>
      </c>
      <c r="Z46" s="3"/>
      <c r="AA46" s="3">
        <v>0</v>
      </c>
      <c r="AB46" s="3"/>
      <c r="AC46" s="3">
        <v>0</v>
      </c>
      <c r="AD46" s="3"/>
      <c r="AE46" s="3">
        <v>0</v>
      </c>
      <c r="AF46" s="3"/>
      <c r="AG46" s="3">
        <v>0</v>
      </c>
      <c r="AH46" s="3"/>
      <c r="AI46" s="3">
        <v>0</v>
      </c>
      <c r="AJ46" s="3"/>
      <c r="AK46" s="3">
        <v>0</v>
      </c>
      <c r="AL46" s="3"/>
      <c r="AM46" s="3">
        <v>0</v>
      </c>
      <c r="AN46" s="3"/>
      <c r="AO46" s="3">
        <v>0</v>
      </c>
      <c r="AP46" s="3"/>
      <c r="AQ46" s="3">
        <f t="shared" ref="AQ46:AQ64" si="3">SUM(Y46:AO46)</f>
        <v>0</v>
      </c>
      <c r="AR46" s="3"/>
      <c r="AS46" s="3">
        <f t="shared" ref="AS46:AS64" si="4">+AQ46+W46</f>
        <v>6156981</v>
      </c>
    </row>
    <row r="47" spans="1:45" s="24" customFormat="1">
      <c r="A47" s="3" t="s">
        <v>300</v>
      </c>
      <c r="B47" s="3"/>
      <c r="C47" s="3" t="s">
        <v>212</v>
      </c>
      <c r="D47" s="27"/>
      <c r="E47" s="3">
        <v>51417</v>
      </c>
      <c r="F47" s="27"/>
      <c r="G47" s="3">
        <v>4121373</v>
      </c>
      <c r="H47" s="3"/>
      <c r="I47" s="3">
        <v>11290769</v>
      </c>
      <c r="J47" s="3"/>
      <c r="K47" s="3">
        <v>284049</v>
      </c>
      <c r="L47" s="3"/>
      <c r="M47" s="3">
        <v>0</v>
      </c>
      <c r="N47" s="3"/>
      <c r="O47" s="3">
        <v>0</v>
      </c>
      <c r="P47" s="3"/>
      <c r="Q47" s="3">
        <v>0</v>
      </c>
      <c r="R47" s="3"/>
      <c r="S47" s="3">
        <v>0</v>
      </c>
      <c r="T47" s="3"/>
      <c r="U47" s="3">
        <f>131742+106152</f>
        <v>237894</v>
      </c>
      <c r="V47" s="3"/>
      <c r="W47" s="8">
        <f t="shared" si="2"/>
        <v>15934085</v>
      </c>
      <c r="X47" s="3"/>
      <c r="Y47" s="3">
        <v>0</v>
      </c>
      <c r="Z47" s="3"/>
      <c r="AA47" s="3">
        <v>0</v>
      </c>
      <c r="AB47" s="3"/>
      <c r="AC47" s="3">
        <v>20670</v>
      </c>
      <c r="AD47" s="3"/>
      <c r="AE47" s="3">
        <v>4493</v>
      </c>
      <c r="AF47" s="3"/>
      <c r="AG47" s="3">
        <v>0</v>
      </c>
      <c r="AH47" s="3"/>
      <c r="AI47" s="3">
        <v>0</v>
      </c>
      <c r="AJ47" s="3"/>
      <c r="AK47" s="3">
        <v>0</v>
      </c>
      <c r="AL47" s="3"/>
      <c r="AM47" s="3">
        <v>0</v>
      </c>
      <c r="AN47" s="3"/>
      <c r="AO47" s="3">
        <v>0</v>
      </c>
      <c r="AP47" s="3"/>
      <c r="AQ47" s="3">
        <f t="shared" si="3"/>
        <v>25163</v>
      </c>
      <c r="AR47" s="3"/>
      <c r="AS47" s="3">
        <f t="shared" si="4"/>
        <v>15959248</v>
      </c>
    </row>
    <row r="48" spans="1:45" s="24" customFormat="1">
      <c r="A48" s="3" t="s">
        <v>301</v>
      </c>
      <c r="B48" s="3"/>
      <c r="C48" s="3" t="s">
        <v>167</v>
      </c>
      <c r="D48" s="27"/>
      <c r="E48" s="3">
        <v>50948</v>
      </c>
      <c r="F48" s="27"/>
      <c r="G48" s="3">
        <v>9225416</v>
      </c>
      <c r="H48" s="3"/>
      <c r="I48" s="3">
        <v>4473036</v>
      </c>
      <c r="J48" s="3"/>
      <c r="K48" s="3">
        <v>178903</v>
      </c>
      <c r="L48" s="3"/>
      <c r="M48" s="3">
        <v>158225</v>
      </c>
      <c r="N48" s="3"/>
      <c r="O48" s="3">
        <v>0</v>
      </c>
      <c r="P48" s="3"/>
      <c r="Q48" s="3">
        <v>0</v>
      </c>
      <c r="R48" s="3"/>
      <c r="S48" s="3">
        <v>0</v>
      </c>
      <c r="T48" s="3"/>
      <c r="U48" s="3">
        <v>52057</v>
      </c>
      <c r="V48" s="3"/>
      <c r="W48" s="8">
        <f t="shared" si="2"/>
        <v>14087637</v>
      </c>
      <c r="X48" s="3"/>
      <c r="Y48" s="3">
        <v>217340</v>
      </c>
      <c r="Z48" s="3"/>
      <c r="AA48" s="3">
        <v>0</v>
      </c>
      <c r="AB48" s="3"/>
      <c r="AC48" s="3">
        <v>0</v>
      </c>
      <c r="AD48" s="3"/>
      <c r="AE48" s="3">
        <v>0</v>
      </c>
      <c r="AF48" s="3"/>
      <c r="AG48" s="3">
        <v>0</v>
      </c>
      <c r="AH48" s="3"/>
      <c r="AI48" s="3">
        <v>0</v>
      </c>
      <c r="AJ48" s="3"/>
      <c r="AK48" s="3">
        <v>0</v>
      </c>
      <c r="AL48" s="3"/>
      <c r="AM48" s="3">
        <v>0</v>
      </c>
      <c r="AN48" s="3"/>
      <c r="AO48" s="3">
        <v>0</v>
      </c>
      <c r="AP48" s="3"/>
      <c r="AQ48" s="3">
        <f t="shared" si="3"/>
        <v>217340</v>
      </c>
      <c r="AR48" s="3"/>
      <c r="AS48" s="3">
        <f t="shared" si="4"/>
        <v>14304977</v>
      </c>
    </row>
    <row r="49" spans="1:45" s="24" customFormat="1">
      <c r="A49" s="3" t="s">
        <v>302</v>
      </c>
      <c r="B49" s="3"/>
      <c r="C49" s="3" t="s">
        <v>223</v>
      </c>
      <c r="D49" s="27"/>
      <c r="E49" s="3">
        <v>63495</v>
      </c>
      <c r="F49" s="27"/>
      <c r="G49" s="3">
        <v>2954776</v>
      </c>
      <c r="H49" s="3"/>
      <c r="I49" s="3">
        <v>3115484</v>
      </c>
      <c r="J49" s="3"/>
      <c r="K49" s="3">
        <v>248216</v>
      </c>
      <c r="L49" s="3"/>
      <c r="M49" s="3">
        <v>431447</v>
      </c>
      <c r="N49" s="3"/>
      <c r="O49" s="3">
        <v>0</v>
      </c>
      <c r="P49" s="3"/>
      <c r="Q49" s="3">
        <v>0</v>
      </c>
      <c r="R49" s="3"/>
      <c r="S49" s="3">
        <v>0</v>
      </c>
      <c r="T49" s="3"/>
      <c r="U49" s="3">
        <f>48027+65420</f>
        <v>113447</v>
      </c>
      <c r="V49" s="3"/>
      <c r="W49" s="8">
        <f t="shared" si="2"/>
        <v>6863370</v>
      </c>
      <c r="X49" s="3"/>
      <c r="Y49" s="3">
        <v>0</v>
      </c>
      <c r="Z49" s="3"/>
      <c r="AA49" s="3">
        <v>0</v>
      </c>
      <c r="AB49" s="3"/>
      <c r="AC49" s="3">
        <v>0</v>
      </c>
      <c r="AD49" s="3"/>
      <c r="AE49" s="3">
        <v>0</v>
      </c>
      <c r="AF49" s="3"/>
      <c r="AG49" s="3">
        <v>0</v>
      </c>
      <c r="AH49" s="3"/>
      <c r="AI49" s="3">
        <v>0</v>
      </c>
      <c r="AJ49" s="3"/>
      <c r="AK49" s="3">
        <v>0</v>
      </c>
      <c r="AL49" s="3"/>
      <c r="AM49" s="3">
        <v>0</v>
      </c>
      <c r="AN49" s="3"/>
      <c r="AO49" s="3">
        <v>0</v>
      </c>
      <c r="AP49" s="3"/>
      <c r="AQ49" s="3">
        <f t="shared" si="3"/>
        <v>0</v>
      </c>
      <c r="AR49" s="3"/>
      <c r="AS49" s="3">
        <f t="shared" si="4"/>
        <v>6863370</v>
      </c>
    </row>
    <row r="50" spans="1:45" s="24" customFormat="1">
      <c r="A50" s="3" t="s">
        <v>303</v>
      </c>
      <c r="B50" s="3"/>
      <c r="C50" s="3" t="s">
        <v>217</v>
      </c>
      <c r="D50" s="27"/>
      <c r="E50" s="3">
        <v>51490</v>
      </c>
      <c r="F50" s="27"/>
      <c r="G50" s="3">
        <v>1756065</v>
      </c>
      <c r="H50" s="3"/>
      <c r="I50" s="3">
        <v>4539345</v>
      </c>
      <c r="J50" s="3"/>
      <c r="K50" s="3">
        <v>62022</v>
      </c>
      <c r="L50" s="3"/>
      <c r="M50" s="3">
        <v>77744</v>
      </c>
      <c r="N50" s="3"/>
      <c r="O50" s="3">
        <v>80880</v>
      </c>
      <c r="P50" s="3"/>
      <c r="Q50" s="3">
        <v>0</v>
      </c>
      <c r="R50" s="3"/>
      <c r="S50" s="3">
        <v>0</v>
      </c>
      <c r="T50" s="3"/>
      <c r="U50" s="3">
        <f>61830+10075+11355</f>
        <v>83260</v>
      </c>
      <c r="V50" s="3"/>
      <c r="W50" s="8">
        <f t="shared" si="2"/>
        <v>6599316</v>
      </c>
      <c r="X50" s="3"/>
      <c r="Y50" s="3">
        <v>0</v>
      </c>
      <c r="Z50" s="3"/>
      <c r="AA50" s="3">
        <v>0</v>
      </c>
      <c r="AB50" s="3"/>
      <c r="AC50" s="3">
        <v>0</v>
      </c>
      <c r="AD50" s="3"/>
      <c r="AE50" s="3">
        <v>4198</v>
      </c>
      <c r="AF50" s="3"/>
      <c r="AG50" s="3">
        <v>0</v>
      </c>
      <c r="AH50" s="3"/>
      <c r="AI50" s="3">
        <v>0</v>
      </c>
      <c r="AJ50" s="3"/>
      <c r="AK50" s="3">
        <v>0</v>
      </c>
      <c r="AL50" s="3"/>
      <c r="AM50" s="3">
        <v>0</v>
      </c>
      <c r="AN50" s="3"/>
      <c r="AO50" s="3">
        <v>0</v>
      </c>
      <c r="AP50" s="3"/>
      <c r="AQ50" s="3">
        <f t="shared" si="3"/>
        <v>4198</v>
      </c>
      <c r="AR50" s="3"/>
      <c r="AS50" s="3">
        <f t="shared" si="4"/>
        <v>6603514</v>
      </c>
    </row>
    <row r="51" spans="1:45" s="24" customFormat="1">
      <c r="A51" s="3" t="s">
        <v>238</v>
      </c>
      <c r="B51" s="3"/>
      <c r="C51" s="3" t="s">
        <v>158</v>
      </c>
      <c r="D51" s="27"/>
      <c r="E51" s="3">
        <v>50799</v>
      </c>
      <c r="F51" s="27"/>
      <c r="G51" s="3">
        <v>1581377</v>
      </c>
      <c r="H51" s="3"/>
      <c r="I51" s="3">
        <v>3712358</v>
      </c>
      <c r="J51" s="3"/>
      <c r="K51" s="3">
        <v>0</v>
      </c>
      <c r="L51" s="3"/>
      <c r="M51" s="3">
        <v>0</v>
      </c>
      <c r="N51" s="3"/>
      <c r="O51" s="3">
        <v>0</v>
      </c>
      <c r="P51" s="3"/>
      <c r="Q51" s="3">
        <v>0</v>
      </c>
      <c r="R51" s="3"/>
      <c r="S51" s="3">
        <v>0</v>
      </c>
      <c r="T51" s="3"/>
      <c r="U51" s="3">
        <f>876+300+1158</f>
        <v>2334</v>
      </c>
      <c r="V51" s="3"/>
      <c r="W51" s="8">
        <f t="shared" si="2"/>
        <v>5296069</v>
      </c>
      <c r="X51" s="3"/>
      <c r="Y51" s="3">
        <v>0</v>
      </c>
      <c r="Z51" s="3"/>
      <c r="AA51" s="3">
        <v>0</v>
      </c>
      <c r="AB51" s="3"/>
      <c r="AC51" s="3">
        <v>0</v>
      </c>
      <c r="AD51" s="3"/>
      <c r="AE51" s="3">
        <v>3415</v>
      </c>
      <c r="AF51" s="3"/>
      <c r="AG51" s="3">
        <v>0</v>
      </c>
      <c r="AH51" s="3"/>
      <c r="AI51" s="3">
        <v>0</v>
      </c>
      <c r="AJ51" s="3"/>
      <c r="AK51" s="3">
        <v>0</v>
      </c>
      <c r="AL51" s="3"/>
      <c r="AM51" s="3">
        <v>0</v>
      </c>
      <c r="AN51" s="3"/>
      <c r="AO51" s="3">
        <v>0</v>
      </c>
      <c r="AP51" s="3"/>
      <c r="AQ51" s="3">
        <f t="shared" si="3"/>
        <v>3415</v>
      </c>
      <c r="AR51" s="3"/>
      <c r="AS51" s="3">
        <f t="shared" si="4"/>
        <v>5299484</v>
      </c>
    </row>
    <row r="52" spans="1:45" s="24" customFormat="1">
      <c r="A52" s="3" t="s">
        <v>336</v>
      </c>
      <c r="B52" s="3"/>
      <c r="C52" s="3" t="s">
        <v>161</v>
      </c>
      <c r="D52" s="27"/>
      <c r="E52" s="3">
        <v>51532</v>
      </c>
      <c r="F52" s="27"/>
      <c r="G52" s="3">
        <v>4873197</v>
      </c>
      <c r="H52" s="3"/>
      <c r="I52" s="3">
        <v>6733779</v>
      </c>
      <c r="J52" s="3"/>
      <c r="K52" s="3">
        <v>39105</v>
      </c>
      <c r="L52" s="3"/>
      <c r="M52" s="3">
        <v>40975</v>
      </c>
      <c r="N52" s="3"/>
      <c r="O52" s="3">
        <v>0</v>
      </c>
      <c r="P52" s="3"/>
      <c r="Q52" s="3">
        <v>0</v>
      </c>
      <c r="R52" s="3"/>
      <c r="S52" s="3">
        <v>0</v>
      </c>
      <c r="T52" s="3"/>
      <c r="U52" s="3">
        <f>1480+2236+5600</f>
        <v>9316</v>
      </c>
      <c r="V52" s="3"/>
      <c r="W52" s="8">
        <f t="shared" si="2"/>
        <v>11696372</v>
      </c>
      <c r="X52" s="3"/>
      <c r="Y52" s="3">
        <v>4948</v>
      </c>
      <c r="Z52" s="3"/>
      <c r="AA52" s="3">
        <v>0</v>
      </c>
      <c r="AB52" s="3"/>
      <c r="AC52" s="3">
        <v>0</v>
      </c>
      <c r="AD52" s="3"/>
      <c r="AE52" s="3">
        <v>49769</v>
      </c>
      <c r="AF52" s="3"/>
      <c r="AG52" s="3">
        <v>0</v>
      </c>
      <c r="AH52" s="3"/>
      <c r="AI52" s="3">
        <v>0</v>
      </c>
      <c r="AJ52" s="3"/>
      <c r="AK52" s="3">
        <v>0</v>
      </c>
      <c r="AL52" s="3"/>
      <c r="AM52" s="3">
        <v>0</v>
      </c>
      <c r="AN52" s="3"/>
      <c r="AO52" s="3">
        <v>0</v>
      </c>
      <c r="AP52" s="3"/>
      <c r="AQ52" s="3">
        <f t="shared" si="3"/>
        <v>54717</v>
      </c>
      <c r="AR52" s="3"/>
      <c r="AS52" s="3">
        <f t="shared" si="4"/>
        <v>11751089</v>
      </c>
    </row>
    <row r="53" spans="1:45" s="24" customFormat="1">
      <c r="A53" s="3" t="s">
        <v>255</v>
      </c>
      <c r="B53" s="3"/>
      <c r="C53" s="3" t="s">
        <v>221</v>
      </c>
      <c r="D53" s="27"/>
      <c r="E53" s="3">
        <v>62026</v>
      </c>
      <c r="F53" s="27"/>
      <c r="G53" s="3">
        <v>2188249</v>
      </c>
      <c r="H53" s="3"/>
      <c r="I53" s="3">
        <f>2439+4858907+23396</f>
        <v>4884742</v>
      </c>
      <c r="J53" s="3"/>
      <c r="K53" s="3">
        <v>163391</v>
      </c>
      <c r="L53" s="3"/>
      <c r="M53" s="3">
        <v>0</v>
      </c>
      <c r="N53" s="3"/>
      <c r="O53" s="3">
        <v>0</v>
      </c>
      <c r="P53" s="3"/>
      <c r="Q53" s="3">
        <v>0</v>
      </c>
      <c r="R53" s="3"/>
      <c r="S53" s="3">
        <v>0</v>
      </c>
      <c r="T53" s="3"/>
      <c r="U53" s="3">
        <v>191499</v>
      </c>
      <c r="V53" s="3"/>
      <c r="W53" s="8">
        <f t="shared" si="2"/>
        <v>7427881</v>
      </c>
      <c r="X53" s="3"/>
      <c r="Y53" s="3">
        <v>0</v>
      </c>
      <c r="Z53" s="3"/>
      <c r="AA53" s="3">
        <v>0</v>
      </c>
      <c r="AB53" s="3"/>
      <c r="AC53" s="3">
        <v>0</v>
      </c>
      <c r="AD53" s="3"/>
      <c r="AE53" s="3">
        <v>0</v>
      </c>
      <c r="AF53" s="3"/>
      <c r="AG53" s="3">
        <v>0</v>
      </c>
      <c r="AH53" s="3"/>
      <c r="AI53" s="3">
        <v>0</v>
      </c>
      <c r="AJ53" s="3"/>
      <c r="AK53" s="3">
        <v>0</v>
      </c>
      <c r="AL53" s="3"/>
      <c r="AM53" s="3">
        <v>0</v>
      </c>
      <c r="AN53" s="3"/>
      <c r="AO53" s="3">
        <v>0</v>
      </c>
      <c r="AP53" s="3"/>
      <c r="AQ53" s="3">
        <f t="shared" si="3"/>
        <v>0</v>
      </c>
      <c r="AR53" s="3"/>
      <c r="AS53" s="3">
        <f t="shared" si="4"/>
        <v>7427881</v>
      </c>
    </row>
    <row r="54" spans="1:45">
      <c r="A54" s="3" t="s">
        <v>341</v>
      </c>
      <c r="B54" s="3"/>
      <c r="C54" s="3" t="s">
        <v>248</v>
      </c>
      <c r="D54" s="21"/>
      <c r="E54" s="3"/>
      <c r="F54" s="21"/>
      <c r="G54" s="3">
        <v>7649724</v>
      </c>
      <c r="H54" s="3"/>
      <c r="I54" s="3">
        <v>3409441</v>
      </c>
      <c r="J54" s="3"/>
      <c r="K54" s="3">
        <v>78598</v>
      </c>
      <c r="L54" s="3"/>
      <c r="M54" s="3">
        <v>155494</v>
      </c>
      <c r="N54" s="3"/>
      <c r="O54" s="3">
        <v>0</v>
      </c>
      <c r="P54" s="3"/>
      <c r="Q54" s="3">
        <v>0</v>
      </c>
      <c r="R54" s="3"/>
      <c r="S54" s="3">
        <v>0</v>
      </c>
      <c r="T54" s="3"/>
      <c r="U54" s="3">
        <v>228046</v>
      </c>
      <c r="V54" s="3"/>
      <c r="W54" s="8">
        <f t="shared" si="2"/>
        <v>11521303</v>
      </c>
      <c r="X54" s="3"/>
      <c r="Y54" s="3">
        <v>0</v>
      </c>
      <c r="Z54" s="3"/>
      <c r="AA54" s="3">
        <v>0</v>
      </c>
      <c r="AB54" s="3"/>
      <c r="AC54" s="3">
        <v>0</v>
      </c>
      <c r="AD54" s="3"/>
      <c r="AE54" s="3">
        <v>54905</v>
      </c>
      <c r="AF54" s="3"/>
      <c r="AG54" s="3">
        <v>0</v>
      </c>
      <c r="AH54" s="3"/>
      <c r="AI54" s="3">
        <v>0</v>
      </c>
      <c r="AJ54" s="3"/>
      <c r="AK54" s="3">
        <v>0</v>
      </c>
      <c r="AL54" s="3"/>
      <c r="AM54" s="3">
        <v>0</v>
      </c>
      <c r="AN54" s="3"/>
      <c r="AO54" s="3">
        <v>0</v>
      </c>
      <c r="AP54" s="3"/>
      <c r="AQ54" s="3">
        <f t="shared" si="3"/>
        <v>54905</v>
      </c>
      <c r="AR54" s="3"/>
      <c r="AS54" s="3">
        <f t="shared" si="4"/>
        <v>11576208</v>
      </c>
    </row>
    <row r="55" spans="1:45" s="24" customFormat="1">
      <c r="A55" s="3" t="s">
        <v>388</v>
      </c>
      <c r="B55" s="3"/>
      <c r="C55" s="3" t="s">
        <v>153</v>
      </c>
      <c r="D55" s="27"/>
      <c r="E55" s="3">
        <v>51607</v>
      </c>
      <c r="F55" s="27"/>
      <c r="G55" s="3">
        <v>3151851</v>
      </c>
      <c r="H55" s="3"/>
      <c r="I55" s="3">
        <v>4113352</v>
      </c>
      <c r="J55" s="3"/>
      <c r="K55" s="3">
        <v>116771</v>
      </c>
      <c r="L55" s="3"/>
      <c r="M55" s="3">
        <v>0</v>
      </c>
      <c r="N55" s="3"/>
      <c r="O55" s="3">
        <v>0</v>
      </c>
      <c r="P55" s="3"/>
      <c r="Q55" s="3">
        <v>0</v>
      </c>
      <c r="R55" s="3"/>
      <c r="S55" s="3">
        <v>0</v>
      </c>
      <c r="T55" s="3"/>
      <c r="U55" s="3">
        <v>8013</v>
      </c>
      <c r="V55" s="3"/>
      <c r="W55" s="8">
        <f t="shared" si="2"/>
        <v>7389987</v>
      </c>
      <c r="X55" s="3"/>
      <c r="Y55" s="3">
        <v>0</v>
      </c>
      <c r="Z55" s="3"/>
      <c r="AA55" s="3">
        <v>0</v>
      </c>
      <c r="AB55" s="3"/>
      <c r="AC55" s="3">
        <v>0</v>
      </c>
      <c r="AD55" s="3"/>
      <c r="AE55" s="3">
        <v>90</v>
      </c>
      <c r="AF55" s="3"/>
      <c r="AG55" s="3">
        <v>0</v>
      </c>
      <c r="AH55" s="3"/>
      <c r="AI55" s="3">
        <v>0</v>
      </c>
      <c r="AJ55" s="3"/>
      <c r="AK55" s="3">
        <v>0</v>
      </c>
      <c r="AL55" s="3"/>
      <c r="AM55" s="3">
        <v>0</v>
      </c>
      <c r="AN55" s="3"/>
      <c r="AO55" s="3">
        <v>0</v>
      </c>
      <c r="AP55" s="3"/>
      <c r="AQ55" s="3">
        <f t="shared" si="3"/>
        <v>90</v>
      </c>
      <c r="AR55" s="3"/>
      <c r="AS55" s="3">
        <f t="shared" si="4"/>
        <v>7390077</v>
      </c>
    </row>
    <row r="56" spans="1:45" s="24" customFormat="1">
      <c r="A56" s="3" t="s">
        <v>250</v>
      </c>
      <c r="B56" s="3"/>
      <c r="C56" s="3" t="s">
        <v>251</v>
      </c>
      <c r="D56" s="27"/>
      <c r="E56" s="3">
        <v>65268</v>
      </c>
      <c r="F56" s="27"/>
      <c r="G56" s="3">
        <v>3825463</v>
      </c>
      <c r="H56" s="3"/>
      <c r="I56" s="3">
        <v>6828748</v>
      </c>
      <c r="J56" s="3"/>
      <c r="K56" s="3">
        <v>15704</v>
      </c>
      <c r="L56" s="3"/>
      <c r="M56" s="3">
        <v>7590</v>
      </c>
      <c r="N56" s="3"/>
      <c r="O56" s="3">
        <v>739</v>
      </c>
      <c r="P56" s="3"/>
      <c r="Q56" s="3">
        <v>24308</v>
      </c>
      <c r="R56" s="3"/>
      <c r="S56" s="3">
        <v>1450</v>
      </c>
      <c r="T56" s="3"/>
      <c r="U56" s="3">
        <f>15743+63461</f>
        <v>79204</v>
      </c>
      <c r="V56" s="3"/>
      <c r="W56" s="8">
        <f t="shared" si="2"/>
        <v>10783206</v>
      </c>
      <c r="X56" s="3"/>
      <c r="Y56" s="3">
        <v>0</v>
      </c>
      <c r="Z56" s="3"/>
      <c r="AA56" s="3">
        <v>0</v>
      </c>
      <c r="AB56" s="3"/>
      <c r="AC56" s="3">
        <v>0</v>
      </c>
      <c r="AD56" s="3"/>
      <c r="AE56" s="3">
        <v>0</v>
      </c>
      <c r="AF56" s="3"/>
      <c r="AG56" s="3">
        <v>0</v>
      </c>
      <c r="AH56" s="3"/>
      <c r="AI56" s="3">
        <v>0</v>
      </c>
      <c r="AJ56" s="3"/>
      <c r="AK56" s="3">
        <v>0</v>
      </c>
      <c r="AL56" s="3"/>
      <c r="AM56" s="3">
        <v>0</v>
      </c>
      <c r="AN56" s="3"/>
      <c r="AO56" s="3">
        <v>0</v>
      </c>
      <c r="AP56" s="3"/>
      <c r="AQ56" s="3">
        <f t="shared" si="3"/>
        <v>0</v>
      </c>
      <c r="AR56" s="3"/>
      <c r="AS56" s="3">
        <f t="shared" si="4"/>
        <v>10783206</v>
      </c>
    </row>
    <row r="57" spans="1:45" s="24" customFormat="1">
      <c r="A57" s="3" t="s">
        <v>304</v>
      </c>
      <c r="B57" s="3"/>
      <c r="C57" s="3" t="s">
        <v>225</v>
      </c>
      <c r="D57" s="27"/>
      <c r="E57" s="3">
        <v>51631</v>
      </c>
      <c r="F57" s="27"/>
      <c r="G57" s="3">
        <v>5024041</v>
      </c>
      <c r="H57" s="3"/>
      <c r="I57" s="3">
        <f>1000+7621918+62840</f>
        <v>7685758</v>
      </c>
      <c r="J57" s="3"/>
      <c r="K57" s="3">
        <v>148348</v>
      </c>
      <c r="L57" s="3"/>
      <c r="M57" s="3">
        <v>0</v>
      </c>
      <c r="N57" s="3"/>
      <c r="O57" s="3">
        <v>0</v>
      </c>
      <c r="P57" s="3"/>
      <c r="Q57" s="3">
        <v>0</v>
      </c>
      <c r="R57" s="3"/>
      <c r="S57" s="3">
        <v>0</v>
      </c>
      <c r="T57" s="3"/>
      <c r="U57" s="3">
        <f>87998+197990+122111+100882</f>
        <v>508981</v>
      </c>
      <c r="V57" s="3"/>
      <c r="W57" s="8">
        <f t="shared" si="2"/>
        <v>13367128</v>
      </c>
      <c r="X57" s="3"/>
      <c r="Y57" s="3">
        <v>0</v>
      </c>
      <c r="Z57" s="3"/>
      <c r="AA57" s="3">
        <v>0</v>
      </c>
      <c r="AB57" s="3"/>
      <c r="AC57" s="3">
        <v>0</v>
      </c>
      <c r="AD57" s="3"/>
      <c r="AE57" s="3">
        <v>0</v>
      </c>
      <c r="AF57" s="3"/>
      <c r="AG57" s="3">
        <v>0</v>
      </c>
      <c r="AH57" s="3"/>
      <c r="AI57" s="3">
        <v>0</v>
      </c>
      <c r="AJ57" s="3"/>
      <c r="AK57" s="3">
        <v>0</v>
      </c>
      <c r="AL57" s="3"/>
      <c r="AM57" s="3">
        <v>0</v>
      </c>
      <c r="AN57" s="3"/>
      <c r="AO57" s="3">
        <v>0</v>
      </c>
      <c r="AP57" s="3"/>
      <c r="AQ57" s="3">
        <f t="shared" si="3"/>
        <v>0</v>
      </c>
      <c r="AR57" s="3"/>
      <c r="AS57" s="3">
        <f t="shared" si="4"/>
        <v>13367128</v>
      </c>
    </row>
    <row r="58" spans="1:45" s="24" customFormat="1">
      <c r="A58" s="3" t="s">
        <v>239</v>
      </c>
      <c r="B58" s="3"/>
      <c r="C58" s="3" t="s">
        <v>163</v>
      </c>
      <c r="D58" s="27"/>
      <c r="E58" s="3">
        <v>62802</v>
      </c>
      <c r="F58" s="27"/>
      <c r="G58" s="3">
        <v>3371710</v>
      </c>
      <c r="H58" s="3"/>
      <c r="I58" s="3">
        <v>3984061</v>
      </c>
      <c r="J58" s="3"/>
      <c r="K58" s="3">
        <v>235226</v>
      </c>
      <c r="L58" s="3"/>
      <c r="M58" s="3">
        <v>56162</v>
      </c>
      <c r="N58" s="3"/>
      <c r="O58" s="3">
        <v>0</v>
      </c>
      <c r="P58" s="3"/>
      <c r="Q58" s="3">
        <v>0</v>
      </c>
      <c r="R58" s="3"/>
      <c r="S58" s="3">
        <v>0</v>
      </c>
      <c r="T58" s="3"/>
      <c r="U58" s="3">
        <v>10291</v>
      </c>
      <c r="V58" s="3"/>
      <c r="W58" s="8">
        <f t="shared" si="2"/>
        <v>7657450</v>
      </c>
      <c r="X58" s="3"/>
      <c r="Y58" s="3">
        <v>0</v>
      </c>
      <c r="Z58" s="3"/>
      <c r="AA58" s="3">
        <v>0</v>
      </c>
      <c r="AB58" s="3"/>
      <c r="AC58" s="3">
        <v>0</v>
      </c>
      <c r="AD58" s="3"/>
      <c r="AE58" s="3">
        <v>205</v>
      </c>
      <c r="AF58" s="3"/>
      <c r="AG58" s="3">
        <v>0</v>
      </c>
      <c r="AH58" s="3"/>
      <c r="AI58" s="3">
        <v>0</v>
      </c>
      <c r="AJ58" s="3"/>
      <c r="AK58" s="3">
        <v>0</v>
      </c>
      <c r="AL58" s="3"/>
      <c r="AM58" s="3">
        <v>0</v>
      </c>
      <c r="AN58" s="3"/>
      <c r="AO58" s="3">
        <v>0</v>
      </c>
      <c r="AP58" s="3"/>
      <c r="AQ58" s="3">
        <f t="shared" si="3"/>
        <v>205</v>
      </c>
      <c r="AR58" s="3"/>
      <c r="AS58" s="3">
        <f t="shared" si="4"/>
        <v>7657655</v>
      </c>
    </row>
    <row r="59" spans="1:45" s="24" customFormat="1">
      <c r="A59" s="3" t="s">
        <v>253</v>
      </c>
      <c r="B59" s="3"/>
      <c r="C59" s="3" t="s">
        <v>197</v>
      </c>
      <c r="D59" s="27"/>
      <c r="E59" s="3">
        <v>62125</v>
      </c>
      <c r="F59" s="27"/>
      <c r="G59" s="3">
        <v>5512035</v>
      </c>
      <c r="H59" s="3"/>
      <c r="I59" s="3">
        <v>11216864</v>
      </c>
      <c r="J59" s="3"/>
      <c r="K59" s="3">
        <v>32259</v>
      </c>
      <c r="L59" s="3"/>
      <c r="M59" s="3">
        <v>49794</v>
      </c>
      <c r="N59" s="3"/>
      <c r="O59" s="3">
        <v>0</v>
      </c>
      <c r="P59" s="3"/>
      <c r="Q59" s="3">
        <v>0</v>
      </c>
      <c r="R59" s="3"/>
      <c r="S59" s="3">
        <v>723</v>
      </c>
      <c r="T59" s="3"/>
      <c r="U59" s="3">
        <f>108888+1733+18339</f>
        <v>128960</v>
      </c>
      <c r="V59" s="3"/>
      <c r="W59" s="8">
        <f t="shared" si="2"/>
        <v>16940635</v>
      </c>
      <c r="X59" s="3"/>
      <c r="Y59" s="3">
        <v>0</v>
      </c>
      <c r="Z59" s="3"/>
      <c r="AA59" s="3">
        <v>0</v>
      </c>
      <c r="AB59" s="3"/>
      <c r="AC59" s="3">
        <v>0</v>
      </c>
      <c r="AD59" s="3"/>
      <c r="AE59" s="3">
        <v>0</v>
      </c>
      <c r="AF59" s="3"/>
      <c r="AG59" s="3">
        <v>0</v>
      </c>
      <c r="AH59" s="3"/>
      <c r="AI59" s="3">
        <v>0</v>
      </c>
      <c r="AJ59" s="3"/>
      <c r="AK59" s="3">
        <v>0</v>
      </c>
      <c r="AL59" s="3"/>
      <c r="AM59" s="3">
        <v>0</v>
      </c>
      <c r="AN59" s="3"/>
      <c r="AO59" s="3">
        <v>0</v>
      </c>
      <c r="AP59" s="3"/>
      <c r="AQ59" s="3">
        <f t="shared" si="3"/>
        <v>0</v>
      </c>
      <c r="AR59" s="3"/>
      <c r="AS59" s="3">
        <f t="shared" si="4"/>
        <v>16940635</v>
      </c>
    </row>
    <row r="60" spans="1:45" s="24" customFormat="1">
      <c r="A60" s="3" t="s">
        <v>305</v>
      </c>
      <c r="B60" s="3"/>
      <c r="C60" s="3" t="s">
        <v>216</v>
      </c>
      <c r="D60" s="27"/>
      <c r="E60" s="3">
        <v>51458</v>
      </c>
      <c r="F60" s="27"/>
      <c r="G60" s="3">
        <v>4514256</v>
      </c>
      <c r="H60" s="3"/>
      <c r="I60" s="3">
        <v>9380354</v>
      </c>
      <c r="J60" s="3"/>
      <c r="K60" s="3">
        <v>332343</v>
      </c>
      <c r="L60" s="3"/>
      <c r="M60" s="3">
        <v>82900</v>
      </c>
      <c r="N60" s="3"/>
      <c r="O60" s="3">
        <v>0</v>
      </c>
      <c r="P60" s="3"/>
      <c r="Q60" s="3">
        <v>0</v>
      </c>
      <c r="R60" s="3"/>
      <c r="S60" s="3">
        <v>0</v>
      </c>
      <c r="T60" s="3"/>
      <c r="U60" s="3">
        <f>107248+419659</f>
        <v>526907</v>
      </c>
      <c r="V60" s="3"/>
      <c r="W60" s="8">
        <f t="shared" si="2"/>
        <v>14836760</v>
      </c>
      <c r="X60" s="3"/>
      <c r="Y60" s="3">
        <v>0</v>
      </c>
      <c r="Z60" s="3"/>
      <c r="AA60" s="3">
        <v>0</v>
      </c>
      <c r="AB60" s="3"/>
      <c r="AC60" s="3">
        <v>0</v>
      </c>
      <c r="AD60" s="3"/>
      <c r="AE60" s="3">
        <v>0</v>
      </c>
      <c r="AF60" s="3"/>
      <c r="AG60" s="3">
        <v>0</v>
      </c>
      <c r="AH60" s="3"/>
      <c r="AI60" s="3">
        <v>0</v>
      </c>
      <c r="AJ60" s="3"/>
      <c r="AK60" s="3">
        <v>0</v>
      </c>
      <c r="AL60" s="3"/>
      <c r="AM60" s="3">
        <v>0</v>
      </c>
      <c r="AN60" s="3"/>
      <c r="AO60" s="3">
        <v>0</v>
      </c>
      <c r="AP60" s="3"/>
      <c r="AQ60" s="3">
        <f t="shared" si="3"/>
        <v>0</v>
      </c>
      <c r="AR60" s="3"/>
      <c r="AS60" s="3">
        <f t="shared" si="4"/>
        <v>14836760</v>
      </c>
    </row>
    <row r="61" spans="1:45" s="24" customFormat="1">
      <c r="A61" s="3" t="s">
        <v>306</v>
      </c>
      <c r="B61" s="3"/>
      <c r="C61" s="3" t="s">
        <v>229</v>
      </c>
      <c r="D61" s="27"/>
      <c r="E61" s="3">
        <v>51672</v>
      </c>
      <c r="F61" s="27"/>
      <c r="G61" s="3">
        <v>2454869</v>
      </c>
      <c r="H61" s="3"/>
      <c r="I61" s="3">
        <f>28111+4350030</f>
        <v>4378141</v>
      </c>
      <c r="J61" s="3"/>
      <c r="K61" s="3">
        <v>165801</v>
      </c>
      <c r="L61" s="3"/>
      <c r="M61" s="3">
        <v>763904</v>
      </c>
      <c r="N61" s="3"/>
      <c r="O61" s="3">
        <v>0</v>
      </c>
      <c r="P61" s="3"/>
      <c r="Q61" s="3">
        <v>0</v>
      </c>
      <c r="R61" s="3"/>
      <c r="S61" s="3">
        <v>0</v>
      </c>
      <c r="T61" s="3"/>
      <c r="U61" s="3">
        <f>28737+15528</f>
        <v>44265</v>
      </c>
      <c r="V61" s="3"/>
      <c r="W61" s="8">
        <f t="shared" si="2"/>
        <v>7806980</v>
      </c>
      <c r="X61" s="3"/>
      <c r="Y61" s="3">
        <v>0</v>
      </c>
      <c r="Z61" s="3"/>
      <c r="AA61" s="3">
        <v>0</v>
      </c>
      <c r="AB61" s="3"/>
      <c r="AC61" s="3">
        <v>0</v>
      </c>
      <c r="AD61" s="3"/>
      <c r="AE61" s="3">
        <v>0</v>
      </c>
      <c r="AF61" s="3"/>
      <c r="AG61" s="3">
        <v>0</v>
      </c>
      <c r="AH61" s="3"/>
      <c r="AI61" s="3">
        <v>0</v>
      </c>
      <c r="AJ61" s="3"/>
      <c r="AK61" s="3">
        <v>0</v>
      </c>
      <c r="AL61" s="3"/>
      <c r="AM61" s="3">
        <v>0</v>
      </c>
      <c r="AN61" s="3"/>
      <c r="AO61" s="3">
        <v>0</v>
      </c>
      <c r="AP61" s="3"/>
      <c r="AQ61" s="3">
        <f t="shared" si="3"/>
        <v>0</v>
      </c>
      <c r="AR61" s="3"/>
      <c r="AS61" s="3">
        <f t="shared" si="4"/>
        <v>7806980</v>
      </c>
    </row>
    <row r="62" spans="1:45" s="24" customFormat="1">
      <c r="A62" s="3" t="s">
        <v>257</v>
      </c>
      <c r="B62" s="3"/>
      <c r="C62" s="3" t="s">
        <v>231</v>
      </c>
      <c r="D62" s="27"/>
      <c r="E62" s="3">
        <v>51474</v>
      </c>
      <c r="F62" s="27"/>
      <c r="G62" s="3">
        <v>7070950</v>
      </c>
      <c r="H62" s="3"/>
      <c r="I62" s="3">
        <v>6354723</v>
      </c>
      <c r="J62" s="3"/>
      <c r="K62" s="3">
        <v>175928</v>
      </c>
      <c r="L62" s="3"/>
      <c r="M62" s="3">
        <v>129033</v>
      </c>
      <c r="N62" s="3"/>
      <c r="O62" s="3">
        <v>0</v>
      </c>
      <c r="P62" s="3"/>
      <c r="Q62" s="3">
        <v>361027</v>
      </c>
      <c r="R62" s="3"/>
      <c r="S62" s="3">
        <v>2500</v>
      </c>
      <c r="T62" s="3"/>
      <c r="U62" s="3">
        <f>8492+6833</f>
        <v>15325</v>
      </c>
      <c r="V62" s="3"/>
      <c r="W62" s="8">
        <f t="shared" si="2"/>
        <v>14109486</v>
      </c>
      <c r="X62" s="3"/>
      <c r="Y62" s="3">
        <v>0</v>
      </c>
      <c r="Z62" s="3"/>
      <c r="AA62" s="3">
        <v>0</v>
      </c>
      <c r="AB62" s="3"/>
      <c r="AC62" s="3">
        <v>0</v>
      </c>
      <c r="AD62" s="3"/>
      <c r="AE62" s="3">
        <v>7193</v>
      </c>
      <c r="AF62" s="3"/>
      <c r="AG62" s="3">
        <v>0</v>
      </c>
      <c r="AH62" s="3"/>
      <c r="AI62" s="3">
        <v>0</v>
      </c>
      <c r="AJ62" s="3"/>
      <c r="AK62" s="3">
        <v>0</v>
      </c>
      <c r="AL62" s="3"/>
      <c r="AM62" s="3">
        <v>0</v>
      </c>
      <c r="AN62" s="3"/>
      <c r="AO62" s="3">
        <v>0</v>
      </c>
      <c r="AP62" s="3"/>
      <c r="AQ62" s="3">
        <f t="shared" si="3"/>
        <v>7193</v>
      </c>
      <c r="AR62" s="3"/>
      <c r="AS62" s="3">
        <f t="shared" si="4"/>
        <v>14116679</v>
      </c>
    </row>
    <row r="63" spans="1:45" s="24" customFormat="1">
      <c r="A63" s="3" t="s">
        <v>325</v>
      </c>
      <c r="B63" s="3"/>
      <c r="C63" s="3" t="s">
        <v>232</v>
      </c>
      <c r="D63" s="27"/>
      <c r="E63" s="3">
        <v>51698</v>
      </c>
      <c r="F63" s="27"/>
      <c r="G63" s="3">
        <v>1826649</v>
      </c>
      <c r="H63" s="3"/>
      <c r="I63" s="3">
        <v>3644090</v>
      </c>
      <c r="J63" s="3"/>
      <c r="K63" s="3">
        <v>94174</v>
      </c>
      <c r="L63" s="3"/>
      <c r="M63" s="3">
        <v>0</v>
      </c>
      <c r="N63" s="3"/>
      <c r="O63" s="3">
        <v>0</v>
      </c>
      <c r="P63" s="3"/>
      <c r="Q63" s="3">
        <v>33735</v>
      </c>
      <c r="R63" s="3"/>
      <c r="S63" s="3">
        <v>0</v>
      </c>
      <c r="T63" s="3"/>
      <c r="U63" s="3">
        <f>63556+21126</f>
        <v>84682</v>
      </c>
      <c r="V63" s="3"/>
      <c r="W63" s="8">
        <f t="shared" si="2"/>
        <v>5683330</v>
      </c>
      <c r="X63" s="3"/>
      <c r="Y63" s="3">
        <v>0</v>
      </c>
      <c r="Z63" s="3"/>
      <c r="AA63" s="3">
        <v>0</v>
      </c>
      <c r="AB63" s="3"/>
      <c r="AC63" s="3">
        <v>0</v>
      </c>
      <c r="AD63" s="3"/>
      <c r="AE63" s="3">
        <v>5311</v>
      </c>
      <c r="AF63" s="3"/>
      <c r="AG63" s="3">
        <v>0</v>
      </c>
      <c r="AH63" s="3"/>
      <c r="AI63" s="3">
        <v>0</v>
      </c>
      <c r="AJ63" s="3"/>
      <c r="AK63" s="3">
        <v>0</v>
      </c>
      <c r="AL63" s="3"/>
      <c r="AM63" s="3">
        <v>0</v>
      </c>
      <c r="AN63" s="3"/>
      <c r="AO63" s="3">
        <v>0</v>
      </c>
      <c r="AP63" s="3"/>
      <c r="AQ63" s="3">
        <f t="shared" si="3"/>
        <v>5311</v>
      </c>
      <c r="AR63" s="3"/>
      <c r="AS63" s="3">
        <f t="shared" si="4"/>
        <v>5688641</v>
      </c>
    </row>
    <row r="64" spans="1:45" s="24" customFormat="1">
      <c r="A64" s="3" t="s">
        <v>307</v>
      </c>
      <c r="B64" s="3"/>
      <c r="C64" s="3" t="s">
        <v>234</v>
      </c>
      <c r="D64" s="27"/>
      <c r="E64" s="3">
        <v>51714</v>
      </c>
      <c r="F64" s="27"/>
      <c r="G64" s="3">
        <v>4085319</v>
      </c>
      <c r="H64" s="3"/>
      <c r="I64" s="3">
        <v>7222375</v>
      </c>
      <c r="J64" s="3"/>
      <c r="K64" s="3">
        <v>12807</v>
      </c>
      <c r="L64" s="3"/>
      <c r="M64" s="3">
        <v>0</v>
      </c>
      <c r="N64" s="3"/>
      <c r="O64" s="3">
        <v>0</v>
      </c>
      <c r="P64" s="3"/>
      <c r="Q64" s="3">
        <v>0</v>
      </c>
      <c r="R64" s="3"/>
      <c r="S64" s="3">
        <v>2360</v>
      </c>
      <c r="T64" s="3"/>
      <c r="U64" s="3">
        <f>102354+917</f>
        <v>103271</v>
      </c>
      <c r="V64" s="3"/>
      <c r="W64" s="8">
        <f t="shared" si="2"/>
        <v>11426132</v>
      </c>
      <c r="X64" s="3"/>
      <c r="Y64" s="3">
        <v>0</v>
      </c>
      <c r="Z64" s="3"/>
      <c r="AA64" s="3">
        <v>0</v>
      </c>
      <c r="AB64" s="3"/>
      <c r="AC64" s="3">
        <v>0</v>
      </c>
      <c r="AD64" s="3"/>
      <c r="AE64" s="3">
        <v>0</v>
      </c>
      <c r="AF64" s="3"/>
      <c r="AG64" s="3">
        <v>0</v>
      </c>
      <c r="AH64" s="3"/>
      <c r="AI64" s="3">
        <v>0</v>
      </c>
      <c r="AJ64" s="3"/>
      <c r="AK64" s="3">
        <v>0</v>
      </c>
      <c r="AL64" s="3"/>
      <c r="AM64" s="3">
        <v>0</v>
      </c>
      <c r="AN64" s="3"/>
      <c r="AO64" s="3">
        <v>0</v>
      </c>
      <c r="AP64" s="3"/>
      <c r="AQ64" s="3">
        <f t="shared" si="3"/>
        <v>0</v>
      </c>
      <c r="AR64" s="3"/>
      <c r="AS64" s="3">
        <f t="shared" si="4"/>
        <v>11426132</v>
      </c>
    </row>
    <row r="65" spans="1:45">
      <c r="A65" s="3"/>
      <c r="B65" s="3"/>
      <c r="C65" s="3"/>
      <c r="D65" s="21"/>
      <c r="E65" s="3"/>
      <c r="F65" s="21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8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>
      <c r="A66" s="74"/>
      <c r="B66" s="74"/>
      <c r="C66" s="74"/>
      <c r="D66" s="74"/>
      <c r="E66" s="74"/>
      <c r="F66" s="74"/>
      <c r="G66" s="74"/>
      <c r="H66" s="74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B66" s="21"/>
      <c r="AC66" s="17"/>
      <c r="AD66" s="21"/>
      <c r="AE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3"/>
      <c r="AR66" s="21"/>
      <c r="AS66" s="17" t="s">
        <v>310</v>
      </c>
    </row>
    <row r="67" spans="1:45">
      <c r="A67" s="13" t="s">
        <v>309</v>
      </c>
      <c r="B67" s="3"/>
      <c r="C67" s="3"/>
      <c r="D67" s="21"/>
      <c r="E67" s="3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3"/>
      <c r="AR67" s="21"/>
      <c r="AS67" s="21"/>
    </row>
    <row r="68" spans="1:45">
      <c r="A68" s="13"/>
      <c r="B68" s="3"/>
      <c r="C68" s="3"/>
      <c r="D68" s="21"/>
      <c r="E68" s="3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3"/>
      <c r="AR68" s="21"/>
      <c r="AS68" s="21"/>
    </row>
    <row r="69" spans="1:45" hidden="1">
      <c r="A69" s="3" t="s">
        <v>345</v>
      </c>
      <c r="B69" s="3"/>
      <c r="C69" s="3" t="s">
        <v>321</v>
      </c>
      <c r="D69" s="21"/>
      <c r="E69" s="3">
        <v>45849</v>
      </c>
      <c r="F69" s="2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8">
        <v>0</v>
      </c>
      <c r="X69" s="3"/>
      <c r="Y69" s="3"/>
      <c r="Z69" s="3"/>
      <c r="AA69" s="3"/>
      <c r="AB69" s="3"/>
      <c r="AC69" s="3">
        <v>0</v>
      </c>
      <c r="AD69" s="3"/>
      <c r="AE69" s="3">
        <v>0</v>
      </c>
      <c r="AF69" s="34"/>
      <c r="AG69" s="3">
        <v>0</v>
      </c>
      <c r="AH69" s="3"/>
      <c r="AI69" s="3">
        <v>0</v>
      </c>
      <c r="AJ69" s="3"/>
      <c r="AK69" s="3">
        <v>0</v>
      </c>
      <c r="AL69" s="3"/>
      <c r="AM69" s="3">
        <v>0</v>
      </c>
      <c r="AN69" s="3"/>
      <c r="AO69" s="3">
        <v>0</v>
      </c>
      <c r="AP69" s="3"/>
      <c r="AQ69" s="3">
        <f t="shared" ref="AQ69:AQ100" si="5">SUM(Y69:AO69)</f>
        <v>0</v>
      </c>
      <c r="AR69" s="3"/>
      <c r="AS69" s="3">
        <f t="shared" ref="AS69:AS100" si="6">+AQ69+W69</f>
        <v>0</v>
      </c>
    </row>
    <row r="70" spans="1:45" hidden="1">
      <c r="A70" s="3" t="s">
        <v>346</v>
      </c>
      <c r="B70" s="3"/>
      <c r="C70" s="3" t="s">
        <v>152</v>
      </c>
      <c r="D70" s="21"/>
      <c r="E70" s="3"/>
      <c r="F70" s="21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8"/>
      <c r="X70" s="3"/>
      <c r="Y70" s="3"/>
      <c r="Z70" s="3"/>
      <c r="AA70" s="3"/>
      <c r="AB70" s="3"/>
      <c r="AC70" s="3">
        <v>0</v>
      </c>
      <c r="AD70" s="3"/>
      <c r="AE70" s="3">
        <v>0</v>
      </c>
      <c r="AF70" s="3"/>
      <c r="AG70" s="3">
        <v>0</v>
      </c>
      <c r="AH70" s="3"/>
      <c r="AI70" s="3">
        <v>0</v>
      </c>
      <c r="AJ70" s="3"/>
      <c r="AK70" s="3">
        <v>0</v>
      </c>
      <c r="AL70" s="3"/>
      <c r="AM70" s="3">
        <v>0</v>
      </c>
      <c r="AN70" s="3"/>
      <c r="AO70" s="3">
        <v>0</v>
      </c>
      <c r="AP70" s="3"/>
      <c r="AQ70" s="3">
        <f t="shared" si="5"/>
        <v>0</v>
      </c>
      <c r="AR70" s="3"/>
      <c r="AS70" s="3">
        <f t="shared" si="6"/>
        <v>0</v>
      </c>
    </row>
    <row r="71" spans="1:45">
      <c r="A71" s="3" t="s">
        <v>156</v>
      </c>
      <c r="B71" s="3"/>
      <c r="C71" s="3" t="s">
        <v>153</v>
      </c>
      <c r="D71" s="21"/>
      <c r="E71" s="3">
        <v>135145</v>
      </c>
      <c r="F71" s="21"/>
      <c r="G71" s="34">
        <v>0</v>
      </c>
      <c r="H71" s="34"/>
      <c r="I71" s="34">
        <v>680463</v>
      </c>
      <c r="J71" s="34"/>
      <c r="K71" s="34">
        <v>16116</v>
      </c>
      <c r="L71" s="34"/>
      <c r="M71" s="34">
        <v>1505174</v>
      </c>
      <c r="N71" s="34"/>
      <c r="O71" s="34">
        <v>0</v>
      </c>
      <c r="P71" s="34"/>
      <c r="Q71" s="34">
        <v>0</v>
      </c>
      <c r="R71" s="34"/>
      <c r="S71" s="34">
        <v>13</v>
      </c>
      <c r="T71" s="34"/>
      <c r="U71" s="34">
        <f>1370755+789588+78142</f>
        <v>2238485</v>
      </c>
      <c r="V71" s="34"/>
      <c r="W71" s="15">
        <f>SUM(G71:V71)</f>
        <v>4440251</v>
      </c>
      <c r="X71" s="34"/>
      <c r="Y71" s="34">
        <v>0</v>
      </c>
      <c r="Z71" s="34"/>
      <c r="AA71" s="34">
        <v>0</v>
      </c>
      <c r="AB71" s="34"/>
      <c r="AC71" s="34">
        <v>0</v>
      </c>
      <c r="AD71" s="34"/>
      <c r="AE71" s="34">
        <v>0</v>
      </c>
      <c r="AF71" s="3"/>
      <c r="AG71" s="34">
        <v>0</v>
      </c>
      <c r="AH71" s="34"/>
      <c r="AI71" s="34">
        <v>0</v>
      </c>
      <c r="AJ71" s="34"/>
      <c r="AK71" s="34">
        <v>0</v>
      </c>
      <c r="AL71" s="34"/>
      <c r="AM71" s="34">
        <v>0</v>
      </c>
      <c r="AN71" s="34"/>
      <c r="AO71" s="34">
        <v>0</v>
      </c>
      <c r="AP71" s="34"/>
      <c r="AQ71" s="34">
        <f t="shared" si="5"/>
        <v>0</v>
      </c>
      <c r="AR71" s="34"/>
      <c r="AS71" s="34">
        <f t="shared" si="6"/>
        <v>4440251</v>
      </c>
    </row>
    <row r="72" spans="1:45" hidden="1">
      <c r="A72" s="3" t="s">
        <v>362</v>
      </c>
      <c r="B72" s="3"/>
      <c r="C72" s="3" t="s">
        <v>322</v>
      </c>
      <c r="D72" s="21"/>
      <c r="E72" s="3"/>
      <c r="F72" s="21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8">
        <f>SUM(G72:V72)</f>
        <v>0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>
        <f t="shared" si="5"/>
        <v>0</v>
      </c>
      <c r="AR72" s="3"/>
      <c r="AS72" s="3">
        <f t="shared" si="6"/>
        <v>0</v>
      </c>
    </row>
    <row r="73" spans="1:45">
      <c r="A73" s="3" t="s">
        <v>365</v>
      </c>
      <c r="B73" s="3"/>
      <c r="C73" s="3" t="s">
        <v>158</v>
      </c>
      <c r="D73" s="21"/>
      <c r="E73" s="3">
        <v>46029</v>
      </c>
      <c r="F73" s="21"/>
      <c r="G73" s="3">
        <v>0</v>
      </c>
      <c r="H73" s="3"/>
      <c r="I73" s="3">
        <v>710270</v>
      </c>
      <c r="J73" s="3"/>
      <c r="K73" s="3">
        <v>42215</v>
      </c>
      <c r="L73" s="3"/>
      <c r="M73" s="3">
        <v>91918</v>
      </c>
      <c r="N73" s="3"/>
      <c r="O73" s="3">
        <v>0</v>
      </c>
      <c r="P73" s="3"/>
      <c r="Q73" s="3">
        <v>0</v>
      </c>
      <c r="R73" s="3"/>
      <c r="S73" s="3">
        <v>0</v>
      </c>
      <c r="T73" s="3"/>
      <c r="U73" s="3">
        <v>3632539</v>
      </c>
      <c r="V73" s="3"/>
      <c r="W73" s="8">
        <f>SUM(G73:V73)</f>
        <v>4476942</v>
      </c>
      <c r="X73" s="3"/>
      <c r="Y73" s="3">
        <v>0</v>
      </c>
      <c r="Z73" s="3"/>
      <c r="AA73" s="3">
        <v>0</v>
      </c>
      <c r="AB73" s="3"/>
      <c r="AC73" s="3">
        <v>0</v>
      </c>
      <c r="AD73" s="3"/>
      <c r="AE73" s="3">
        <v>0</v>
      </c>
      <c r="AF73" s="3"/>
      <c r="AG73" s="3">
        <v>0</v>
      </c>
      <c r="AH73" s="3"/>
      <c r="AI73" s="3">
        <v>0</v>
      </c>
      <c r="AJ73" s="3"/>
      <c r="AK73" s="3">
        <v>0</v>
      </c>
      <c r="AL73" s="3"/>
      <c r="AM73" s="3">
        <v>0</v>
      </c>
      <c r="AN73" s="3"/>
      <c r="AO73" s="3">
        <v>0</v>
      </c>
      <c r="AP73" s="3"/>
      <c r="AQ73" s="3">
        <f t="shared" si="5"/>
        <v>0</v>
      </c>
      <c r="AR73" s="3"/>
      <c r="AS73" s="3">
        <f t="shared" si="6"/>
        <v>4476942</v>
      </c>
    </row>
    <row r="74" spans="1:45">
      <c r="A74" s="3" t="s">
        <v>364</v>
      </c>
      <c r="B74" s="3"/>
      <c r="C74" s="3" t="s">
        <v>155</v>
      </c>
      <c r="D74" s="21"/>
      <c r="E74" s="3">
        <v>46086</v>
      </c>
      <c r="F74" s="21"/>
      <c r="G74" s="3">
        <v>0</v>
      </c>
      <c r="H74" s="3"/>
      <c r="I74" s="3">
        <v>1986230</v>
      </c>
      <c r="J74" s="3"/>
      <c r="K74" s="3">
        <v>1985</v>
      </c>
      <c r="L74" s="3"/>
      <c r="M74" s="3">
        <v>0</v>
      </c>
      <c r="N74" s="3"/>
      <c r="O74" s="3">
        <v>0</v>
      </c>
      <c r="P74" s="3"/>
      <c r="Q74" s="3">
        <v>0</v>
      </c>
      <c r="R74" s="3"/>
      <c r="S74" s="3">
        <v>0</v>
      </c>
      <c r="T74" s="3"/>
      <c r="U74" s="3">
        <f>4748736+801690</f>
        <v>5550426</v>
      </c>
      <c r="V74" s="3"/>
      <c r="W74" s="8">
        <f t="shared" ref="W74:W130" si="7">SUM(G74:V74)</f>
        <v>7538641</v>
      </c>
      <c r="X74" s="3"/>
      <c r="Y74" s="3">
        <v>0</v>
      </c>
      <c r="Z74" s="3"/>
      <c r="AA74" s="3">
        <v>0</v>
      </c>
      <c r="AB74" s="3"/>
      <c r="AC74" s="3">
        <v>2937000</v>
      </c>
      <c r="AD74" s="3"/>
      <c r="AE74" s="3">
        <v>0</v>
      </c>
      <c r="AF74" s="3"/>
      <c r="AG74" s="3">
        <v>0</v>
      </c>
      <c r="AH74" s="3"/>
      <c r="AI74" s="3">
        <v>0</v>
      </c>
      <c r="AJ74" s="3"/>
      <c r="AK74" s="3">
        <v>0</v>
      </c>
      <c r="AL74" s="3"/>
      <c r="AM74" s="3">
        <v>0</v>
      </c>
      <c r="AN74" s="3"/>
      <c r="AO74" s="3">
        <v>0</v>
      </c>
      <c r="AP74" s="3"/>
      <c r="AQ74" s="3">
        <f t="shared" si="5"/>
        <v>2937000</v>
      </c>
      <c r="AR74" s="3"/>
      <c r="AS74" s="3">
        <f t="shared" si="6"/>
        <v>10475641</v>
      </c>
    </row>
    <row r="75" spans="1:45">
      <c r="A75" s="3" t="s">
        <v>366</v>
      </c>
      <c r="B75" s="3"/>
      <c r="C75" s="3" t="s">
        <v>161</v>
      </c>
      <c r="D75" s="21"/>
      <c r="E75" s="3">
        <v>46227</v>
      </c>
      <c r="F75" s="21"/>
      <c r="G75" s="3">
        <v>0</v>
      </c>
      <c r="H75" s="3"/>
      <c r="I75" s="3">
        <v>1364886</v>
      </c>
      <c r="J75" s="3"/>
      <c r="K75" s="3">
        <v>11289</v>
      </c>
      <c r="L75" s="3"/>
      <c r="M75" s="3">
        <v>3469280</v>
      </c>
      <c r="N75" s="3"/>
      <c r="O75" s="3">
        <v>0</v>
      </c>
      <c r="P75" s="3"/>
      <c r="Q75" s="3">
        <v>0</v>
      </c>
      <c r="R75" s="3"/>
      <c r="S75" s="3">
        <v>0</v>
      </c>
      <c r="T75" s="3"/>
      <c r="U75" s="3">
        <f>195157+1146986</f>
        <v>1342143</v>
      </c>
      <c r="V75" s="3"/>
      <c r="W75" s="8">
        <f t="shared" si="7"/>
        <v>6187598</v>
      </c>
      <c r="X75" s="3"/>
      <c r="Y75" s="3">
        <v>0</v>
      </c>
      <c r="Z75" s="3"/>
      <c r="AA75" s="3">
        <v>0</v>
      </c>
      <c r="AB75" s="3"/>
      <c r="AC75" s="3">
        <v>0</v>
      </c>
      <c r="AD75" s="3"/>
      <c r="AE75" s="3">
        <v>0</v>
      </c>
      <c r="AF75" s="3"/>
      <c r="AG75" s="3">
        <v>0</v>
      </c>
      <c r="AH75" s="3"/>
      <c r="AI75" s="3">
        <v>0</v>
      </c>
      <c r="AJ75" s="3"/>
      <c r="AK75" s="3">
        <v>0</v>
      </c>
      <c r="AL75" s="3"/>
      <c r="AM75" s="3">
        <v>0</v>
      </c>
      <c r="AN75" s="3"/>
      <c r="AO75" s="3">
        <v>0</v>
      </c>
      <c r="AP75" s="3"/>
      <c r="AQ75" s="3">
        <f t="shared" si="5"/>
        <v>0</v>
      </c>
      <c r="AR75" s="3"/>
      <c r="AS75" s="3">
        <f t="shared" si="6"/>
        <v>6187598</v>
      </c>
    </row>
    <row r="76" spans="1:45">
      <c r="A76" s="3" t="s">
        <v>162</v>
      </c>
      <c r="B76" s="3"/>
      <c r="C76" s="3" t="s">
        <v>163</v>
      </c>
      <c r="D76" s="21"/>
      <c r="E76" s="3">
        <v>46292</v>
      </c>
      <c r="F76" s="21"/>
      <c r="G76" s="3">
        <v>0</v>
      </c>
      <c r="H76" s="3"/>
      <c r="I76" s="3">
        <v>1704205</v>
      </c>
      <c r="J76" s="3"/>
      <c r="K76" s="3">
        <v>8482</v>
      </c>
      <c r="L76" s="3"/>
      <c r="M76" s="3">
        <v>16194562</v>
      </c>
      <c r="N76" s="3"/>
      <c r="O76" s="3">
        <v>0</v>
      </c>
      <c r="P76" s="3"/>
      <c r="Q76" s="3">
        <v>0</v>
      </c>
      <c r="R76" s="3"/>
      <c r="S76" s="3">
        <v>92625</v>
      </c>
      <c r="T76" s="3"/>
      <c r="U76" s="3">
        <f>500037+277208+8995</f>
        <v>786240</v>
      </c>
      <c r="V76" s="3"/>
      <c r="W76" s="8">
        <f t="shared" si="7"/>
        <v>18786114</v>
      </c>
      <c r="X76" s="3"/>
      <c r="Y76" s="3">
        <v>0</v>
      </c>
      <c r="Z76" s="3"/>
      <c r="AA76" s="3">
        <v>0</v>
      </c>
      <c r="AB76" s="3"/>
      <c r="AC76" s="3">
        <v>0</v>
      </c>
      <c r="AD76" s="3"/>
      <c r="AE76" s="3">
        <v>0</v>
      </c>
      <c r="AF76" s="3"/>
      <c r="AG76" s="3">
        <v>0</v>
      </c>
      <c r="AH76" s="3"/>
      <c r="AI76" s="3">
        <v>0</v>
      </c>
      <c r="AJ76" s="3"/>
      <c r="AK76" s="3">
        <v>0</v>
      </c>
      <c r="AL76" s="3"/>
      <c r="AM76" s="3">
        <v>0</v>
      </c>
      <c r="AN76" s="3"/>
      <c r="AO76" s="3">
        <v>0</v>
      </c>
      <c r="AP76" s="3"/>
      <c r="AQ76" s="3">
        <f t="shared" si="5"/>
        <v>0</v>
      </c>
      <c r="AR76" s="3"/>
      <c r="AS76" s="3">
        <f t="shared" si="6"/>
        <v>18786114</v>
      </c>
    </row>
    <row r="77" spans="1:45" s="24" customFormat="1" hidden="1">
      <c r="A77" s="3" t="s">
        <v>343</v>
      </c>
      <c r="B77" s="3"/>
      <c r="C77" s="3" t="s">
        <v>164</v>
      </c>
      <c r="D77" s="27"/>
      <c r="E77" s="3">
        <v>46375</v>
      </c>
      <c r="F77" s="2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8">
        <f t="shared" si="7"/>
        <v>0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>
        <f t="shared" si="5"/>
        <v>0</v>
      </c>
      <c r="AR77" s="3"/>
      <c r="AS77" s="3">
        <f t="shared" si="6"/>
        <v>0</v>
      </c>
    </row>
    <row r="78" spans="1:45">
      <c r="A78" s="3" t="s">
        <v>367</v>
      </c>
      <c r="B78" s="3"/>
      <c r="C78" s="3" t="s">
        <v>165</v>
      </c>
      <c r="D78" s="21"/>
      <c r="E78" s="3">
        <v>46417</v>
      </c>
      <c r="F78" s="21"/>
      <c r="G78" s="3">
        <v>0</v>
      </c>
      <c r="H78" s="3"/>
      <c r="I78" s="3">
        <v>1238751</v>
      </c>
      <c r="J78" s="3"/>
      <c r="K78" s="3">
        <v>748</v>
      </c>
      <c r="L78" s="3"/>
      <c r="M78" s="3">
        <v>5995124</v>
      </c>
      <c r="N78" s="3"/>
      <c r="O78" s="3">
        <v>0</v>
      </c>
      <c r="P78" s="3"/>
      <c r="Q78" s="3">
        <v>0</v>
      </c>
      <c r="R78" s="3"/>
      <c r="S78" s="3">
        <v>0</v>
      </c>
      <c r="T78" s="3"/>
      <c r="U78" s="3">
        <f>4209+1300587</f>
        <v>1304796</v>
      </c>
      <c r="V78" s="3"/>
      <c r="W78" s="8">
        <f t="shared" si="7"/>
        <v>8539419</v>
      </c>
      <c r="X78" s="3"/>
      <c r="Y78" s="3">
        <v>0</v>
      </c>
      <c r="Z78" s="3"/>
      <c r="AA78" s="3">
        <v>0</v>
      </c>
      <c r="AB78" s="3"/>
      <c r="AC78" s="3">
        <v>77948</v>
      </c>
      <c r="AD78" s="3"/>
      <c r="AE78" s="3">
        <v>0</v>
      </c>
      <c r="AF78" s="3"/>
      <c r="AG78" s="3">
        <v>0</v>
      </c>
      <c r="AH78" s="3"/>
      <c r="AI78" s="3">
        <v>0</v>
      </c>
      <c r="AJ78" s="3"/>
      <c r="AK78" s="3">
        <v>0</v>
      </c>
      <c r="AL78" s="3"/>
      <c r="AM78" s="3">
        <v>0</v>
      </c>
      <c r="AN78" s="3"/>
      <c r="AO78" s="3">
        <v>0</v>
      </c>
      <c r="AP78" s="3"/>
      <c r="AQ78" s="3">
        <f t="shared" si="5"/>
        <v>77948</v>
      </c>
      <c r="AR78" s="3"/>
      <c r="AS78" s="3">
        <f t="shared" si="6"/>
        <v>8617367</v>
      </c>
    </row>
    <row r="79" spans="1:45">
      <c r="A79" s="3" t="s">
        <v>166</v>
      </c>
      <c r="B79" s="3"/>
      <c r="C79" s="3" t="s">
        <v>167</v>
      </c>
      <c r="D79" s="21"/>
      <c r="E79" s="3">
        <v>46532</v>
      </c>
      <c r="F79" s="21"/>
      <c r="G79" s="3">
        <v>0</v>
      </c>
      <c r="H79" s="3"/>
      <c r="I79" s="3">
        <v>6565325</v>
      </c>
      <c r="J79" s="3"/>
      <c r="K79" s="3">
        <v>102054</v>
      </c>
      <c r="L79" s="3"/>
      <c r="M79" s="3">
        <v>37509489</v>
      </c>
      <c r="N79" s="3"/>
      <c r="O79" s="3">
        <v>814</v>
      </c>
      <c r="P79" s="3"/>
      <c r="Q79" s="3">
        <v>0</v>
      </c>
      <c r="R79" s="3"/>
      <c r="S79" s="3">
        <v>5726</v>
      </c>
      <c r="T79" s="3"/>
      <c r="U79" s="3">
        <f>446042+12275741+94698</f>
        <v>12816481</v>
      </c>
      <c r="V79" s="3"/>
      <c r="W79" s="8">
        <f>SUM(H79:V79)</f>
        <v>56999889</v>
      </c>
      <c r="X79" s="3"/>
      <c r="Y79" s="3">
        <v>0</v>
      </c>
      <c r="Z79" s="3"/>
      <c r="AA79" s="3">
        <v>0</v>
      </c>
      <c r="AB79" s="3"/>
      <c r="AC79" s="3">
        <v>0</v>
      </c>
      <c r="AD79" s="3"/>
      <c r="AE79" s="3">
        <v>15500</v>
      </c>
      <c r="AF79" s="3"/>
      <c r="AG79" s="3">
        <v>0</v>
      </c>
      <c r="AH79" s="3"/>
      <c r="AI79" s="3">
        <v>0</v>
      </c>
      <c r="AJ79" s="3"/>
      <c r="AK79" s="3">
        <v>0</v>
      </c>
      <c r="AL79" s="3"/>
      <c r="AM79" s="3">
        <v>0</v>
      </c>
      <c r="AN79" s="3"/>
      <c r="AO79" s="3">
        <v>0</v>
      </c>
      <c r="AP79" s="3"/>
      <c r="AQ79" s="3">
        <f t="shared" si="5"/>
        <v>15500</v>
      </c>
      <c r="AR79" s="3"/>
      <c r="AS79" s="3">
        <f t="shared" si="6"/>
        <v>57015389</v>
      </c>
    </row>
    <row r="80" spans="1:45" hidden="1">
      <c r="A80" s="3" t="s">
        <v>339</v>
      </c>
      <c r="B80" s="3"/>
      <c r="C80" s="3" t="s">
        <v>169</v>
      </c>
      <c r="D80" s="21"/>
      <c r="E80" s="3">
        <v>46615</v>
      </c>
      <c r="F80" s="21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8">
        <f t="shared" si="7"/>
        <v>0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>
        <f t="shared" si="5"/>
        <v>0</v>
      </c>
      <c r="AR80" s="3"/>
      <c r="AS80" s="3">
        <f t="shared" si="6"/>
        <v>0</v>
      </c>
    </row>
    <row r="81" spans="1:45" s="24" customFormat="1" hidden="1">
      <c r="A81" s="3" t="s">
        <v>363</v>
      </c>
      <c r="B81" s="3"/>
      <c r="C81" s="3" t="s">
        <v>171</v>
      </c>
      <c r="D81" s="27"/>
      <c r="E81" s="3">
        <v>46730</v>
      </c>
      <c r="F81" s="2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8">
        <f t="shared" si="7"/>
        <v>0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>
        <f t="shared" si="5"/>
        <v>0</v>
      </c>
      <c r="AR81" s="3"/>
      <c r="AS81" s="3">
        <f t="shared" si="6"/>
        <v>0</v>
      </c>
    </row>
    <row r="82" spans="1:45" s="24" customFormat="1">
      <c r="A82" s="3" t="s">
        <v>384</v>
      </c>
      <c r="B82" s="3"/>
      <c r="C82" s="3" t="s">
        <v>227</v>
      </c>
      <c r="D82" s="3"/>
      <c r="E82" s="3">
        <v>50260</v>
      </c>
      <c r="F82" s="27"/>
      <c r="G82" s="3">
        <v>0</v>
      </c>
      <c r="H82" s="3"/>
      <c r="I82" s="3">
        <v>1751730</v>
      </c>
      <c r="J82" s="3"/>
      <c r="K82" s="3">
        <v>6047</v>
      </c>
      <c r="L82" s="3"/>
      <c r="M82" s="3">
        <v>2321776</v>
      </c>
      <c r="N82" s="3"/>
      <c r="O82" s="3">
        <v>0</v>
      </c>
      <c r="P82" s="3"/>
      <c r="Q82" s="3">
        <v>0</v>
      </c>
      <c r="R82" s="3"/>
      <c r="S82" s="3">
        <v>0</v>
      </c>
      <c r="T82" s="3"/>
      <c r="U82" s="3">
        <f>3746792+41017</f>
        <v>3787809</v>
      </c>
      <c r="V82" s="3"/>
      <c r="W82" s="8">
        <f t="shared" ref="W82" si="8">SUM(G82:V82)</f>
        <v>7867362</v>
      </c>
      <c r="X82" s="3"/>
      <c r="Y82" s="3">
        <v>0</v>
      </c>
      <c r="Z82" s="3"/>
      <c r="AA82" s="3">
        <v>0</v>
      </c>
      <c r="AB82" s="3"/>
      <c r="AC82" s="3">
        <v>0</v>
      </c>
      <c r="AD82" s="3"/>
      <c r="AE82" s="3">
        <v>0</v>
      </c>
      <c r="AF82" s="3"/>
      <c r="AG82" s="3">
        <v>0</v>
      </c>
      <c r="AH82" s="3"/>
      <c r="AI82" s="3">
        <v>0</v>
      </c>
      <c r="AJ82" s="3"/>
      <c r="AK82" s="3">
        <v>0</v>
      </c>
      <c r="AL82" s="3"/>
      <c r="AM82" s="3">
        <v>0</v>
      </c>
      <c r="AN82" s="3"/>
      <c r="AO82" s="3">
        <v>0</v>
      </c>
      <c r="AP82" s="3"/>
      <c r="AQ82" s="3">
        <f t="shared" si="5"/>
        <v>0</v>
      </c>
      <c r="AR82" s="3"/>
      <c r="AS82" s="3">
        <f t="shared" si="6"/>
        <v>7867362</v>
      </c>
    </row>
    <row r="83" spans="1:45" s="24" customFormat="1" hidden="1">
      <c r="A83" s="3" t="s">
        <v>344</v>
      </c>
      <c r="B83" s="3"/>
      <c r="C83" s="3" t="s">
        <v>172</v>
      </c>
      <c r="D83" s="27"/>
      <c r="E83" s="3">
        <v>125690</v>
      </c>
      <c r="F83" s="27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8">
        <f t="shared" si="7"/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>
        <f t="shared" si="5"/>
        <v>0</v>
      </c>
      <c r="AR83" s="3"/>
      <c r="AS83" s="3">
        <f t="shared" si="6"/>
        <v>0</v>
      </c>
    </row>
    <row r="84" spans="1:45">
      <c r="A84" s="3" t="s">
        <v>173</v>
      </c>
      <c r="B84" s="3"/>
      <c r="C84" s="3" t="s">
        <v>174</v>
      </c>
      <c r="D84" s="21"/>
      <c r="E84" s="3">
        <v>46839</v>
      </c>
      <c r="F84" s="21"/>
      <c r="G84" s="3">
        <v>0</v>
      </c>
      <c r="H84" s="3"/>
      <c r="I84" s="3">
        <v>1205754</v>
      </c>
      <c r="J84" s="3"/>
      <c r="K84" s="3">
        <v>2819</v>
      </c>
      <c r="L84" s="3"/>
      <c r="M84" s="3">
        <v>6094204</v>
      </c>
      <c r="N84" s="3"/>
      <c r="O84" s="3">
        <v>0</v>
      </c>
      <c r="P84" s="3"/>
      <c r="Q84" s="3">
        <v>0</v>
      </c>
      <c r="R84" s="3"/>
      <c r="S84" s="3">
        <v>0</v>
      </c>
      <c r="T84" s="3"/>
      <c r="U84" s="3">
        <f>9010+1072151</f>
        <v>1081161</v>
      </c>
      <c r="V84" s="3"/>
      <c r="W84" s="8">
        <f t="shared" si="7"/>
        <v>8383938</v>
      </c>
      <c r="X84" s="3"/>
      <c r="Y84" s="3">
        <v>0</v>
      </c>
      <c r="Z84" s="3"/>
      <c r="AA84" s="3">
        <v>0</v>
      </c>
      <c r="AB84" s="3"/>
      <c r="AC84" s="3">
        <v>0</v>
      </c>
      <c r="AD84" s="3"/>
      <c r="AE84" s="3">
        <v>0</v>
      </c>
      <c r="AF84" s="3"/>
      <c r="AG84" s="3">
        <v>0</v>
      </c>
      <c r="AH84" s="3"/>
      <c r="AI84" s="3">
        <v>0</v>
      </c>
      <c r="AJ84" s="3"/>
      <c r="AK84" s="3">
        <v>0</v>
      </c>
      <c r="AL84" s="3"/>
      <c r="AM84" s="3">
        <v>0</v>
      </c>
      <c r="AN84" s="3"/>
      <c r="AO84" s="3">
        <v>0</v>
      </c>
      <c r="AP84" s="3"/>
      <c r="AQ84" s="3">
        <f t="shared" si="5"/>
        <v>0</v>
      </c>
      <c r="AR84" s="3"/>
      <c r="AS84" s="3">
        <f t="shared" si="6"/>
        <v>8383938</v>
      </c>
    </row>
    <row r="85" spans="1:45">
      <c r="A85" s="3" t="s">
        <v>353</v>
      </c>
      <c r="B85" s="3"/>
      <c r="C85" s="3" t="s">
        <v>175</v>
      </c>
      <c r="D85" s="21"/>
      <c r="E85" s="3">
        <v>46938</v>
      </c>
      <c r="F85" s="21"/>
      <c r="G85" s="3">
        <v>0</v>
      </c>
      <c r="H85" s="3"/>
      <c r="I85" s="3">
        <f>299171+8050803+1115878</f>
        <v>9465852</v>
      </c>
      <c r="J85" s="3"/>
      <c r="K85" s="3">
        <v>108066</v>
      </c>
      <c r="L85" s="3"/>
      <c r="M85" s="3">
        <v>15089144</v>
      </c>
      <c r="N85" s="3"/>
      <c r="O85" s="3">
        <v>0</v>
      </c>
      <c r="P85" s="3"/>
      <c r="Q85" s="3">
        <v>0</v>
      </c>
      <c r="R85" s="3"/>
      <c r="S85" s="3">
        <v>155357</v>
      </c>
      <c r="T85" s="3"/>
      <c r="U85" s="3">
        <f>22405239+120362+28747</f>
        <v>22554348</v>
      </c>
      <c r="V85" s="3"/>
      <c r="W85" s="8">
        <f t="shared" si="7"/>
        <v>47372767</v>
      </c>
      <c r="X85" s="3"/>
      <c r="Y85" s="3">
        <v>55</v>
      </c>
      <c r="Z85" s="3"/>
      <c r="AA85" s="3">
        <v>0</v>
      </c>
      <c r="AB85" s="3"/>
      <c r="AC85" s="3">
        <v>391641</v>
      </c>
      <c r="AD85" s="3"/>
      <c r="AE85" s="3">
        <v>450</v>
      </c>
      <c r="AF85" s="3"/>
      <c r="AG85" s="3">
        <v>0</v>
      </c>
      <c r="AH85" s="3"/>
      <c r="AI85" s="3">
        <v>0</v>
      </c>
      <c r="AJ85" s="3"/>
      <c r="AK85" s="3">
        <v>0</v>
      </c>
      <c r="AL85" s="3"/>
      <c r="AM85" s="3">
        <v>0</v>
      </c>
      <c r="AN85" s="3"/>
      <c r="AO85" s="3">
        <v>0</v>
      </c>
      <c r="AP85" s="3"/>
      <c r="AQ85" s="3">
        <f t="shared" si="5"/>
        <v>392146</v>
      </c>
      <c r="AR85" s="3"/>
      <c r="AS85" s="3">
        <f t="shared" si="6"/>
        <v>47764913</v>
      </c>
    </row>
    <row r="86" spans="1:45">
      <c r="A86" s="3" t="s">
        <v>177</v>
      </c>
      <c r="B86" s="3"/>
      <c r="C86" s="3" t="s">
        <v>178</v>
      </c>
      <c r="D86" s="21"/>
      <c r="E86" s="3">
        <v>125682</v>
      </c>
      <c r="F86" s="21"/>
      <c r="G86" s="3">
        <v>0</v>
      </c>
      <c r="H86" s="3"/>
      <c r="I86" s="3">
        <v>208575</v>
      </c>
      <c r="J86" s="3"/>
      <c r="K86" s="3">
        <v>40517</v>
      </c>
      <c r="L86" s="3"/>
      <c r="M86" s="3">
        <v>0</v>
      </c>
      <c r="N86" s="3"/>
      <c r="O86" s="3">
        <v>0</v>
      </c>
      <c r="P86" s="3"/>
      <c r="Q86" s="3">
        <v>0</v>
      </c>
      <c r="R86" s="3"/>
      <c r="S86" s="3">
        <v>0</v>
      </c>
      <c r="T86" s="3"/>
      <c r="U86" s="3">
        <f>112246+1552895+9432</f>
        <v>1674573</v>
      </c>
      <c r="V86" s="3"/>
      <c r="W86" s="8">
        <f t="shared" si="7"/>
        <v>1923665</v>
      </c>
      <c r="X86" s="3"/>
      <c r="Y86" s="3">
        <v>0</v>
      </c>
      <c r="Z86" s="3"/>
      <c r="AA86" s="3">
        <v>0</v>
      </c>
      <c r="AB86" s="3"/>
      <c r="AC86" s="3">
        <v>0</v>
      </c>
      <c r="AD86" s="3"/>
      <c r="AE86" s="3">
        <v>0</v>
      </c>
      <c r="AF86" s="3"/>
      <c r="AG86" s="3">
        <v>0</v>
      </c>
      <c r="AH86" s="3"/>
      <c r="AI86" s="3">
        <v>0</v>
      </c>
      <c r="AJ86" s="3"/>
      <c r="AK86" s="3">
        <v>0</v>
      </c>
      <c r="AL86" s="3"/>
      <c r="AM86" s="3">
        <v>0</v>
      </c>
      <c r="AN86" s="3"/>
      <c r="AO86" s="3">
        <v>0</v>
      </c>
      <c r="AP86" s="3"/>
      <c r="AQ86" s="3">
        <f t="shared" si="5"/>
        <v>0</v>
      </c>
      <c r="AR86" s="3"/>
      <c r="AS86" s="3">
        <f t="shared" si="6"/>
        <v>1923665</v>
      </c>
    </row>
    <row r="87" spans="1:45">
      <c r="A87" s="66" t="s">
        <v>376</v>
      </c>
      <c r="B87" s="3"/>
      <c r="C87" s="3" t="s">
        <v>179</v>
      </c>
      <c r="D87" s="21"/>
      <c r="E87" s="3">
        <v>47159</v>
      </c>
      <c r="F87" s="21"/>
      <c r="G87" s="3">
        <v>0</v>
      </c>
      <c r="H87" s="3"/>
      <c r="I87" s="3">
        <v>839465</v>
      </c>
      <c r="J87" s="3"/>
      <c r="K87" s="3">
        <v>3342</v>
      </c>
      <c r="L87" s="3"/>
      <c r="M87" s="3">
        <v>2282733</v>
      </c>
      <c r="N87" s="3"/>
      <c r="O87" s="3">
        <v>0</v>
      </c>
      <c r="P87" s="3"/>
      <c r="Q87" s="3">
        <v>0</v>
      </c>
      <c r="R87" s="3"/>
      <c r="S87" s="3">
        <v>27469</v>
      </c>
      <c r="T87" s="3"/>
      <c r="U87" s="3">
        <f>7512913+1171</f>
        <v>7514084</v>
      </c>
      <c r="V87" s="3"/>
      <c r="W87" s="8">
        <f t="shared" si="7"/>
        <v>10667093</v>
      </c>
      <c r="X87" s="3"/>
      <c r="Y87" s="3">
        <v>67404</v>
      </c>
      <c r="Z87" s="3"/>
      <c r="AA87" s="3">
        <v>0</v>
      </c>
      <c r="AB87" s="3"/>
      <c r="AC87" s="3">
        <v>0</v>
      </c>
      <c r="AD87" s="3"/>
      <c r="AE87" s="3">
        <v>0</v>
      </c>
      <c r="AF87" s="3"/>
      <c r="AG87" s="3">
        <v>0</v>
      </c>
      <c r="AH87" s="3"/>
      <c r="AI87" s="3">
        <v>0</v>
      </c>
      <c r="AJ87" s="3"/>
      <c r="AK87" s="3">
        <v>0</v>
      </c>
      <c r="AL87" s="3"/>
      <c r="AM87" s="3">
        <v>0</v>
      </c>
      <c r="AN87" s="3"/>
      <c r="AO87" s="3">
        <v>0</v>
      </c>
      <c r="AP87" s="3"/>
      <c r="AQ87" s="3">
        <f t="shared" si="5"/>
        <v>67404</v>
      </c>
      <c r="AR87" s="3"/>
      <c r="AS87" s="3">
        <f t="shared" si="6"/>
        <v>10734497</v>
      </c>
    </row>
    <row r="88" spans="1:45">
      <c r="A88" s="3" t="s">
        <v>377</v>
      </c>
      <c r="B88" s="3"/>
      <c r="C88" s="3" t="s">
        <v>180</v>
      </c>
      <c r="D88" s="21"/>
      <c r="E88" s="3">
        <v>47233</v>
      </c>
      <c r="F88" s="21"/>
      <c r="G88" s="3">
        <v>0</v>
      </c>
      <c r="H88" s="3"/>
      <c r="I88" s="3">
        <v>2321442</v>
      </c>
      <c r="J88" s="3"/>
      <c r="K88" s="3">
        <v>17498</v>
      </c>
      <c r="L88" s="3"/>
      <c r="M88" s="3">
        <v>10809640</v>
      </c>
      <c r="N88" s="3"/>
      <c r="O88" s="3">
        <v>0</v>
      </c>
      <c r="P88" s="3"/>
      <c r="Q88" s="3">
        <v>0</v>
      </c>
      <c r="R88" s="3"/>
      <c r="S88" s="3">
        <v>0</v>
      </c>
      <c r="T88" s="3"/>
      <c r="U88" s="3">
        <v>274489</v>
      </c>
      <c r="V88" s="3"/>
      <c r="W88" s="8">
        <f t="shared" si="7"/>
        <v>13423069</v>
      </c>
      <c r="X88" s="3"/>
      <c r="Y88" s="3">
        <v>70423</v>
      </c>
      <c r="Z88" s="3"/>
      <c r="AA88" s="3">
        <v>0</v>
      </c>
      <c r="AB88" s="3"/>
      <c r="AC88" s="3">
        <v>0</v>
      </c>
      <c r="AD88" s="3"/>
      <c r="AE88" s="3">
        <v>0</v>
      </c>
      <c r="AF88" s="3"/>
      <c r="AG88" s="3">
        <v>0</v>
      </c>
      <c r="AH88" s="3"/>
      <c r="AI88" s="3">
        <v>0</v>
      </c>
      <c r="AJ88" s="3"/>
      <c r="AK88" s="3">
        <v>0</v>
      </c>
      <c r="AL88" s="3"/>
      <c r="AM88" s="3">
        <v>0</v>
      </c>
      <c r="AN88" s="3"/>
      <c r="AO88" s="3">
        <v>0</v>
      </c>
      <c r="AP88" s="3"/>
      <c r="AQ88" s="3">
        <f t="shared" si="5"/>
        <v>70423</v>
      </c>
      <c r="AR88" s="3"/>
      <c r="AS88" s="3">
        <f t="shared" si="6"/>
        <v>13493492</v>
      </c>
    </row>
    <row r="89" spans="1:45">
      <c r="A89" s="3" t="s">
        <v>378</v>
      </c>
      <c r="B89" s="3"/>
      <c r="C89" s="3" t="s">
        <v>181</v>
      </c>
      <c r="D89" s="21"/>
      <c r="E89" s="3">
        <v>47324</v>
      </c>
      <c r="F89" s="21"/>
      <c r="G89" s="3">
        <v>0</v>
      </c>
      <c r="H89" s="3"/>
      <c r="I89" s="3">
        <v>3810801</v>
      </c>
      <c r="J89" s="3"/>
      <c r="K89" s="3">
        <v>101267</v>
      </c>
      <c r="L89" s="3"/>
      <c r="M89" s="3">
        <v>1807491</v>
      </c>
      <c r="N89" s="3"/>
      <c r="O89" s="3">
        <v>0</v>
      </c>
      <c r="P89" s="3"/>
      <c r="Q89" s="3">
        <v>0</v>
      </c>
      <c r="R89" s="3"/>
      <c r="S89" s="3">
        <v>0</v>
      </c>
      <c r="T89" s="3"/>
      <c r="U89" s="3">
        <f>25592916+88643</f>
        <v>25681559</v>
      </c>
      <c r="V89" s="3"/>
      <c r="W89" s="8">
        <f t="shared" si="7"/>
        <v>31401118</v>
      </c>
      <c r="X89" s="3"/>
      <c r="Y89" s="3">
        <v>0</v>
      </c>
      <c r="Z89" s="3"/>
      <c r="AA89" s="3">
        <v>0</v>
      </c>
      <c r="AB89" s="3"/>
      <c r="AC89" s="3">
        <v>0</v>
      </c>
      <c r="AD89" s="3"/>
      <c r="AE89" s="3">
        <v>0</v>
      </c>
      <c r="AF89" s="3"/>
      <c r="AG89" s="3">
        <v>0</v>
      </c>
      <c r="AH89" s="3"/>
      <c r="AI89" s="3">
        <v>0</v>
      </c>
      <c r="AJ89" s="3"/>
      <c r="AK89" s="3">
        <v>0</v>
      </c>
      <c r="AL89" s="3"/>
      <c r="AM89" s="3">
        <v>0</v>
      </c>
      <c r="AN89" s="3"/>
      <c r="AO89" s="3">
        <v>0</v>
      </c>
      <c r="AP89" s="3"/>
      <c r="AQ89" s="3">
        <f t="shared" si="5"/>
        <v>0</v>
      </c>
      <c r="AR89" s="3"/>
      <c r="AS89" s="3">
        <f t="shared" si="6"/>
        <v>31401118</v>
      </c>
    </row>
    <row r="90" spans="1:45">
      <c r="A90" s="3" t="s">
        <v>379</v>
      </c>
      <c r="B90" s="3"/>
      <c r="C90" s="3" t="s">
        <v>182</v>
      </c>
      <c r="D90" s="21"/>
      <c r="E90" s="3">
        <v>47407</v>
      </c>
      <c r="F90" s="21"/>
      <c r="G90" s="3">
        <v>0</v>
      </c>
      <c r="H90" s="3"/>
      <c r="I90" s="3">
        <v>813072</v>
      </c>
      <c r="J90" s="3"/>
      <c r="K90" s="3">
        <v>3773</v>
      </c>
      <c r="L90" s="3"/>
      <c r="M90" s="3">
        <v>1830565</v>
      </c>
      <c r="N90" s="3"/>
      <c r="O90" s="3">
        <v>0</v>
      </c>
      <c r="P90" s="3"/>
      <c r="Q90" s="3">
        <v>0</v>
      </c>
      <c r="R90" s="3"/>
      <c r="S90" s="3">
        <v>0</v>
      </c>
      <c r="T90" s="3"/>
      <c r="U90" s="3">
        <f>2481329+45733</f>
        <v>2527062</v>
      </c>
      <c r="V90" s="3"/>
      <c r="W90" s="8">
        <f t="shared" si="7"/>
        <v>5174472</v>
      </c>
      <c r="X90" s="3"/>
      <c r="Y90" s="3">
        <v>0</v>
      </c>
      <c r="Z90" s="3"/>
      <c r="AA90" s="3">
        <v>0</v>
      </c>
      <c r="AB90" s="3"/>
      <c r="AC90" s="3">
        <v>0</v>
      </c>
      <c r="AD90" s="3"/>
      <c r="AE90" s="3">
        <v>0</v>
      </c>
      <c r="AF90" s="3"/>
      <c r="AG90" s="3">
        <v>0</v>
      </c>
      <c r="AH90" s="3"/>
      <c r="AI90" s="3">
        <v>0</v>
      </c>
      <c r="AJ90" s="3"/>
      <c r="AK90" s="3">
        <v>0</v>
      </c>
      <c r="AL90" s="3"/>
      <c r="AM90" s="3">
        <v>0</v>
      </c>
      <c r="AN90" s="3"/>
      <c r="AO90" s="3">
        <v>0</v>
      </c>
      <c r="AP90" s="3"/>
      <c r="AQ90" s="3">
        <f t="shared" si="5"/>
        <v>0</v>
      </c>
      <c r="AR90" s="3"/>
      <c r="AS90" s="3">
        <f t="shared" si="6"/>
        <v>5174472</v>
      </c>
    </row>
    <row r="91" spans="1:45">
      <c r="A91" s="3" t="s">
        <v>380</v>
      </c>
      <c r="B91" s="3"/>
      <c r="C91" s="3" t="s">
        <v>21</v>
      </c>
      <c r="D91" s="21"/>
      <c r="E91" s="3">
        <v>47480</v>
      </c>
      <c r="F91" s="21"/>
      <c r="G91" s="3">
        <v>0</v>
      </c>
      <c r="H91" s="3"/>
      <c r="I91" s="3">
        <v>503182</v>
      </c>
      <c r="J91" s="3"/>
      <c r="K91" s="3">
        <v>1290</v>
      </c>
      <c r="L91" s="3"/>
      <c r="M91" s="3">
        <v>1471211</v>
      </c>
      <c r="N91" s="3"/>
      <c r="O91" s="3">
        <v>0</v>
      </c>
      <c r="P91" s="3"/>
      <c r="Q91" s="3">
        <v>0</v>
      </c>
      <c r="R91" s="3"/>
      <c r="S91" s="3">
        <v>0</v>
      </c>
      <c r="T91" s="3"/>
      <c r="U91" s="3">
        <v>74476</v>
      </c>
      <c r="V91" s="3"/>
      <c r="W91" s="8">
        <f t="shared" si="7"/>
        <v>2050159</v>
      </c>
      <c r="X91" s="3"/>
      <c r="Y91" s="3">
        <v>0</v>
      </c>
      <c r="Z91" s="3"/>
      <c r="AA91" s="3">
        <v>0</v>
      </c>
      <c r="AB91" s="3"/>
      <c r="AC91" s="3">
        <v>0</v>
      </c>
      <c r="AD91" s="3"/>
      <c r="AE91" s="3">
        <v>0</v>
      </c>
      <c r="AF91" s="3"/>
      <c r="AG91" s="3">
        <v>0</v>
      </c>
      <c r="AH91" s="3"/>
      <c r="AI91" s="3">
        <v>0</v>
      </c>
      <c r="AJ91" s="3"/>
      <c r="AK91" s="3">
        <v>0</v>
      </c>
      <c r="AL91" s="3"/>
      <c r="AM91" s="3">
        <v>0</v>
      </c>
      <c r="AN91" s="3"/>
      <c r="AO91" s="3">
        <v>0</v>
      </c>
      <c r="AP91" s="3"/>
      <c r="AQ91" s="3">
        <f t="shared" si="5"/>
        <v>0</v>
      </c>
      <c r="AR91" s="3"/>
      <c r="AS91" s="3">
        <f t="shared" si="6"/>
        <v>2050159</v>
      </c>
    </row>
    <row r="92" spans="1:45">
      <c r="A92" s="3" t="s">
        <v>381</v>
      </c>
      <c r="B92" s="3"/>
      <c r="C92" s="3" t="s">
        <v>183</v>
      </c>
      <c r="D92" s="21"/>
      <c r="E92" s="3">
        <v>47779</v>
      </c>
      <c r="F92" s="21"/>
      <c r="G92" s="3">
        <v>0</v>
      </c>
      <c r="H92" s="3"/>
      <c r="I92" s="3">
        <f>136774+700264</f>
        <v>837038</v>
      </c>
      <c r="J92" s="3"/>
      <c r="K92" s="3">
        <v>19047</v>
      </c>
      <c r="L92" s="3"/>
      <c r="M92" s="3">
        <v>713319</v>
      </c>
      <c r="N92" s="3"/>
      <c r="O92" s="3">
        <v>0</v>
      </c>
      <c r="P92" s="3"/>
      <c r="Q92" s="3">
        <v>0</v>
      </c>
      <c r="R92" s="3"/>
      <c r="S92" s="3">
        <v>0</v>
      </c>
      <c r="T92" s="3"/>
      <c r="U92" s="3">
        <f>4933580+188789</f>
        <v>5122369</v>
      </c>
      <c r="V92" s="3"/>
      <c r="W92" s="8">
        <f t="shared" si="7"/>
        <v>6691773</v>
      </c>
      <c r="X92" s="3"/>
      <c r="Y92" s="3">
        <v>0</v>
      </c>
      <c r="Z92" s="3"/>
      <c r="AA92" s="3">
        <v>0</v>
      </c>
      <c r="AB92" s="3"/>
      <c r="AC92" s="3">
        <v>18120</v>
      </c>
      <c r="AD92" s="3"/>
      <c r="AE92" s="3">
        <v>0</v>
      </c>
      <c r="AF92" s="3"/>
      <c r="AG92" s="3">
        <v>0</v>
      </c>
      <c r="AH92" s="3"/>
      <c r="AI92" s="3">
        <v>0</v>
      </c>
      <c r="AJ92" s="3"/>
      <c r="AK92" s="3">
        <v>0</v>
      </c>
      <c r="AL92" s="3"/>
      <c r="AM92" s="3">
        <v>0</v>
      </c>
      <c r="AN92" s="3"/>
      <c r="AO92" s="3">
        <v>0</v>
      </c>
      <c r="AP92" s="3"/>
      <c r="AQ92" s="3">
        <f t="shared" si="5"/>
        <v>18120</v>
      </c>
      <c r="AR92" s="3"/>
      <c r="AS92" s="3">
        <f t="shared" si="6"/>
        <v>6709893</v>
      </c>
    </row>
    <row r="93" spans="1:45">
      <c r="A93" s="3" t="s">
        <v>382</v>
      </c>
      <c r="B93" s="3"/>
      <c r="C93" s="3" t="s">
        <v>184</v>
      </c>
      <c r="D93" s="21"/>
      <c r="E93" s="3">
        <v>47811</v>
      </c>
      <c r="F93" s="21"/>
      <c r="G93" s="3">
        <v>0</v>
      </c>
      <c r="H93" s="3"/>
      <c r="I93" s="3">
        <v>834799</v>
      </c>
      <c r="J93" s="3"/>
      <c r="K93" s="3">
        <v>1349</v>
      </c>
      <c r="L93" s="3"/>
      <c r="M93" s="3">
        <v>276739</v>
      </c>
      <c r="N93" s="3"/>
      <c r="O93" s="3">
        <v>0</v>
      </c>
      <c r="P93" s="3"/>
      <c r="Q93" s="3">
        <v>0</v>
      </c>
      <c r="R93" s="3"/>
      <c r="S93" s="3">
        <v>800</v>
      </c>
      <c r="T93" s="3"/>
      <c r="U93" s="3">
        <f>4271655+12139</f>
        <v>4283794</v>
      </c>
      <c r="V93" s="3"/>
      <c r="W93" s="8">
        <f t="shared" si="7"/>
        <v>5397481</v>
      </c>
      <c r="X93" s="3"/>
      <c r="Y93" s="3">
        <v>0</v>
      </c>
      <c r="Z93" s="3"/>
      <c r="AA93" s="3">
        <v>0</v>
      </c>
      <c r="AB93" s="3"/>
      <c r="AC93" s="3">
        <v>0</v>
      </c>
      <c r="AD93" s="3"/>
      <c r="AE93" s="3">
        <v>0</v>
      </c>
      <c r="AF93" s="3"/>
      <c r="AG93" s="3">
        <v>0</v>
      </c>
      <c r="AH93" s="3"/>
      <c r="AI93" s="3">
        <v>0</v>
      </c>
      <c r="AJ93" s="3"/>
      <c r="AK93" s="3">
        <v>0</v>
      </c>
      <c r="AL93" s="3"/>
      <c r="AM93" s="3">
        <v>0</v>
      </c>
      <c r="AN93" s="3"/>
      <c r="AO93" s="3">
        <v>0</v>
      </c>
      <c r="AP93" s="3"/>
      <c r="AQ93" s="3">
        <f t="shared" si="5"/>
        <v>0</v>
      </c>
      <c r="AR93" s="3"/>
      <c r="AS93" s="3">
        <f t="shared" si="6"/>
        <v>5397481</v>
      </c>
    </row>
    <row r="94" spans="1:45">
      <c r="A94" s="3" t="s">
        <v>383</v>
      </c>
      <c r="B94" s="3"/>
      <c r="C94" s="3" t="s">
        <v>154</v>
      </c>
      <c r="D94" s="21"/>
      <c r="E94" s="3">
        <v>47860</v>
      </c>
      <c r="F94" s="21"/>
      <c r="G94" s="3">
        <v>0</v>
      </c>
      <c r="H94" s="3"/>
      <c r="I94" s="3">
        <v>2079829</v>
      </c>
      <c r="J94" s="3"/>
      <c r="K94" s="3">
        <v>691</v>
      </c>
      <c r="L94" s="3"/>
      <c r="M94" s="3">
        <v>2994372</v>
      </c>
      <c r="N94" s="3"/>
      <c r="O94" s="3">
        <v>67164</v>
      </c>
      <c r="P94" s="3"/>
      <c r="Q94" s="3">
        <v>0</v>
      </c>
      <c r="R94" s="3"/>
      <c r="S94" s="3">
        <v>0</v>
      </c>
      <c r="T94" s="3"/>
      <c r="U94" s="3">
        <f>5156024+55175+18973</f>
        <v>5230172</v>
      </c>
      <c r="V94" s="3"/>
      <c r="W94" s="8">
        <f t="shared" si="7"/>
        <v>10372228</v>
      </c>
      <c r="X94" s="3"/>
      <c r="Y94" s="3">
        <v>66356</v>
      </c>
      <c r="Z94" s="3"/>
      <c r="AA94" s="3">
        <v>0</v>
      </c>
      <c r="AB94" s="3"/>
      <c r="AC94" s="3">
        <v>0</v>
      </c>
      <c r="AD94" s="3"/>
      <c r="AE94" s="3">
        <v>0</v>
      </c>
      <c r="AF94" s="3"/>
      <c r="AG94" s="3">
        <v>0</v>
      </c>
      <c r="AH94" s="3"/>
      <c r="AI94" s="3">
        <v>0</v>
      </c>
      <c r="AJ94" s="3"/>
      <c r="AK94" s="3">
        <v>0</v>
      </c>
      <c r="AL94" s="3"/>
      <c r="AM94" s="3">
        <v>0</v>
      </c>
      <c r="AN94" s="3"/>
      <c r="AO94" s="3">
        <v>0</v>
      </c>
      <c r="AP94" s="3"/>
      <c r="AQ94" s="3">
        <f t="shared" si="5"/>
        <v>66356</v>
      </c>
      <c r="AR94" s="3"/>
      <c r="AS94" s="3">
        <f t="shared" si="6"/>
        <v>10438584</v>
      </c>
    </row>
    <row r="95" spans="1:45">
      <c r="A95" s="3" t="s">
        <v>368</v>
      </c>
      <c r="B95" s="3"/>
      <c r="C95" s="3" t="s">
        <v>185</v>
      </c>
      <c r="D95" s="21"/>
      <c r="E95" s="3">
        <v>47910</v>
      </c>
      <c r="F95" s="21"/>
      <c r="G95" s="3">
        <v>0</v>
      </c>
      <c r="H95" s="3"/>
      <c r="I95" s="3">
        <v>298222</v>
      </c>
      <c r="J95" s="3"/>
      <c r="K95" s="3">
        <v>262</v>
      </c>
      <c r="L95" s="3"/>
      <c r="M95" s="3">
        <v>0</v>
      </c>
      <c r="N95" s="3"/>
      <c r="O95" s="3">
        <v>0</v>
      </c>
      <c r="P95" s="3"/>
      <c r="Q95" s="3">
        <v>0</v>
      </c>
      <c r="R95" s="3"/>
      <c r="S95" s="3">
        <v>0</v>
      </c>
      <c r="T95" s="3"/>
      <c r="U95" s="3">
        <f>55856+1770+604366+483257</f>
        <v>1145249</v>
      </c>
      <c r="V95" s="3"/>
      <c r="W95" s="8">
        <f t="shared" si="7"/>
        <v>1443733</v>
      </c>
      <c r="X95" s="3"/>
      <c r="Y95" s="3">
        <v>0</v>
      </c>
      <c r="Z95" s="3"/>
      <c r="AA95" s="3">
        <v>0</v>
      </c>
      <c r="AB95" s="3"/>
      <c r="AC95" s="3">
        <v>0</v>
      </c>
      <c r="AD95" s="3"/>
      <c r="AE95" s="3">
        <v>0</v>
      </c>
      <c r="AF95" s="3"/>
      <c r="AG95" s="3">
        <v>0</v>
      </c>
      <c r="AH95" s="3"/>
      <c r="AI95" s="3">
        <v>0</v>
      </c>
      <c r="AJ95" s="3"/>
      <c r="AK95" s="3">
        <v>0</v>
      </c>
      <c r="AL95" s="3"/>
      <c r="AM95" s="3">
        <v>0</v>
      </c>
      <c r="AN95" s="3"/>
      <c r="AO95" s="3">
        <v>0</v>
      </c>
      <c r="AP95" s="3"/>
      <c r="AQ95" s="3">
        <f t="shared" si="5"/>
        <v>0</v>
      </c>
      <c r="AR95" s="3"/>
      <c r="AS95" s="3">
        <f t="shared" si="6"/>
        <v>1443733</v>
      </c>
    </row>
    <row r="96" spans="1:45">
      <c r="A96" s="3" t="s">
        <v>369</v>
      </c>
      <c r="B96" s="3"/>
      <c r="C96" s="3" t="s">
        <v>187</v>
      </c>
      <c r="D96" s="21"/>
      <c r="E96" s="3"/>
      <c r="F96" s="21"/>
      <c r="G96" s="3">
        <v>0</v>
      </c>
      <c r="H96" s="3"/>
      <c r="I96" s="3">
        <v>1340066</v>
      </c>
      <c r="J96" s="3"/>
      <c r="K96" s="3">
        <v>3339</v>
      </c>
      <c r="L96" s="3"/>
      <c r="M96" s="3">
        <v>368219</v>
      </c>
      <c r="N96" s="3"/>
      <c r="O96" s="3">
        <v>0</v>
      </c>
      <c r="P96" s="3"/>
      <c r="Q96" s="3">
        <v>0</v>
      </c>
      <c r="R96" s="3"/>
      <c r="S96" s="3">
        <v>9550</v>
      </c>
      <c r="T96" s="3"/>
      <c r="U96" s="3">
        <f>9505+8092152</f>
        <v>8101657</v>
      </c>
      <c r="V96" s="3"/>
      <c r="W96" s="8">
        <f>SUM(G96:V96)</f>
        <v>9822831</v>
      </c>
      <c r="X96" s="3"/>
      <c r="Y96" s="3">
        <v>0</v>
      </c>
      <c r="Z96" s="3"/>
      <c r="AA96" s="3">
        <v>0</v>
      </c>
      <c r="AB96" s="3"/>
      <c r="AC96" s="3">
        <v>19134</v>
      </c>
      <c r="AD96" s="3"/>
      <c r="AE96" s="3">
        <v>0</v>
      </c>
      <c r="AF96" s="3"/>
      <c r="AG96" s="3">
        <v>0</v>
      </c>
      <c r="AH96" s="3"/>
      <c r="AI96" s="3">
        <v>0</v>
      </c>
      <c r="AJ96" s="3"/>
      <c r="AK96" s="3">
        <v>0</v>
      </c>
      <c r="AL96" s="3"/>
      <c r="AM96" s="3">
        <v>0</v>
      </c>
      <c r="AN96" s="3"/>
      <c r="AO96" s="3">
        <v>0</v>
      </c>
      <c r="AP96" s="3"/>
      <c r="AQ96" s="3">
        <f t="shared" si="5"/>
        <v>19134</v>
      </c>
      <c r="AR96" s="3"/>
      <c r="AS96" s="3">
        <f t="shared" si="6"/>
        <v>9841965</v>
      </c>
    </row>
    <row r="97" spans="1:45">
      <c r="A97" s="3" t="s">
        <v>370</v>
      </c>
      <c r="B97" s="3"/>
      <c r="C97" s="3" t="s">
        <v>188</v>
      </c>
      <c r="D97" s="21"/>
      <c r="E97" s="3">
        <v>48058</v>
      </c>
      <c r="F97" s="21"/>
      <c r="G97" s="3">
        <v>0</v>
      </c>
      <c r="H97" s="3"/>
      <c r="I97" s="3">
        <v>292727</v>
      </c>
      <c r="J97" s="3"/>
      <c r="K97" s="3">
        <v>575</v>
      </c>
      <c r="L97" s="3"/>
      <c r="M97" s="3">
        <v>1699316</v>
      </c>
      <c r="N97" s="3"/>
      <c r="O97" s="3">
        <v>0</v>
      </c>
      <c r="P97" s="3"/>
      <c r="Q97" s="3">
        <v>0</v>
      </c>
      <c r="R97" s="3"/>
      <c r="S97" s="3">
        <v>0</v>
      </c>
      <c r="T97" s="3"/>
      <c r="U97" s="3">
        <f>585822+46231</f>
        <v>632053</v>
      </c>
      <c r="V97" s="3"/>
      <c r="W97" s="8">
        <f t="shared" si="7"/>
        <v>2624671</v>
      </c>
      <c r="X97" s="3"/>
      <c r="Y97" s="3">
        <v>0</v>
      </c>
      <c r="Z97" s="3"/>
      <c r="AA97" s="3">
        <v>0</v>
      </c>
      <c r="AB97" s="3"/>
      <c r="AC97" s="3">
        <v>0</v>
      </c>
      <c r="AD97" s="3"/>
      <c r="AE97" s="3">
        <v>0</v>
      </c>
      <c r="AF97" s="3"/>
      <c r="AG97" s="3">
        <v>0</v>
      </c>
      <c r="AH97" s="3"/>
      <c r="AI97" s="3">
        <v>0</v>
      </c>
      <c r="AJ97" s="3"/>
      <c r="AK97" s="3">
        <v>0</v>
      </c>
      <c r="AL97" s="3"/>
      <c r="AM97" s="3">
        <v>0</v>
      </c>
      <c r="AN97" s="3"/>
      <c r="AO97" s="3">
        <v>0</v>
      </c>
      <c r="AP97" s="3"/>
      <c r="AQ97" s="3">
        <f t="shared" si="5"/>
        <v>0</v>
      </c>
      <c r="AR97" s="3"/>
      <c r="AS97" s="3">
        <f t="shared" si="6"/>
        <v>2624671</v>
      </c>
    </row>
    <row r="98" spans="1:45" ht="12.6" customHeight="1">
      <c r="A98" s="3" t="s">
        <v>371</v>
      </c>
      <c r="B98" s="3"/>
      <c r="C98" s="3" t="s">
        <v>150</v>
      </c>
      <c r="D98" s="21"/>
      <c r="E98" s="3">
        <v>48108</v>
      </c>
      <c r="F98" s="21"/>
      <c r="G98" s="3">
        <v>0</v>
      </c>
      <c r="H98" s="3"/>
      <c r="I98" s="3">
        <v>2620595</v>
      </c>
      <c r="J98" s="3"/>
      <c r="K98" s="3">
        <v>88208</v>
      </c>
      <c r="L98" s="3"/>
      <c r="M98" s="3">
        <v>4280148</v>
      </c>
      <c r="N98" s="3"/>
      <c r="O98" s="3">
        <v>0</v>
      </c>
      <c r="P98" s="3"/>
      <c r="Q98" s="3">
        <v>0</v>
      </c>
      <c r="R98" s="3"/>
      <c r="S98" s="3">
        <v>0</v>
      </c>
      <c r="T98" s="3"/>
      <c r="U98" s="3">
        <f>1688022+2280</f>
        <v>1690302</v>
      </c>
      <c r="V98" s="3"/>
      <c r="W98" s="8">
        <f t="shared" si="7"/>
        <v>8679253</v>
      </c>
      <c r="X98" s="3"/>
      <c r="Y98" s="3">
        <v>0</v>
      </c>
      <c r="Z98" s="3"/>
      <c r="AA98" s="3">
        <v>0</v>
      </c>
      <c r="AB98" s="3"/>
      <c r="AC98" s="3">
        <v>0</v>
      </c>
      <c r="AD98" s="3"/>
      <c r="AE98" s="3">
        <v>0</v>
      </c>
      <c r="AF98" s="3"/>
      <c r="AG98" s="3">
        <v>0</v>
      </c>
      <c r="AH98" s="3"/>
      <c r="AI98" s="3">
        <v>0</v>
      </c>
      <c r="AJ98" s="3"/>
      <c r="AK98" s="3">
        <v>0</v>
      </c>
      <c r="AL98" s="3"/>
      <c r="AM98" s="3">
        <v>0</v>
      </c>
      <c r="AN98" s="3"/>
      <c r="AO98" s="3">
        <v>0</v>
      </c>
      <c r="AP98" s="3"/>
      <c r="AQ98" s="3">
        <f t="shared" si="5"/>
        <v>0</v>
      </c>
      <c r="AR98" s="3"/>
      <c r="AS98" s="3">
        <f t="shared" si="6"/>
        <v>8679253</v>
      </c>
    </row>
    <row r="99" spans="1:45">
      <c r="A99" s="3" t="s">
        <v>372</v>
      </c>
      <c r="B99" s="3"/>
      <c r="C99" s="3" t="s">
        <v>189</v>
      </c>
      <c r="D99" s="21"/>
      <c r="E99" s="3">
        <v>48199</v>
      </c>
      <c r="F99" s="21"/>
      <c r="G99" s="3">
        <v>0</v>
      </c>
      <c r="H99" s="3"/>
      <c r="I99" s="3">
        <v>2780208</v>
      </c>
      <c r="J99" s="3"/>
      <c r="K99" s="3">
        <v>52047</v>
      </c>
      <c r="L99" s="3"/>
      <c r="M99" s="3">
        <v>8616559</v>
      </c>
      <c r="N99" s="3"/>
      <c r="O99" s="3">
        <v>0</v>
      </c>
      <c r="P99" s="3"/>
      <c r="Q99" s="3">
        <v>0</v>
      </c>
      <c r="R99" s="3"/>
      <c r="S99" s="3">
        <v>90</v>
      </c>
      <c r="T99" s="3"/>
      <c r="U99" s="3">
        <f>1504+2627589+194833+63773</f>
        <v>2887699</v>
      </c>
      <c r="V99" s="3"/>
      <c r="W99" s="8">
        <f t="shared" si="7"/>
        <v>14336603</v>
      </c>
      <c r="X99" s="3"/>
      <c r="Y99" s="3">
        <v>1918575</v>
      </c>
      <c r="Z99" s="3"/>
      <c r="AA99" s="3">
        <v>0</v>
      </c>
      <c r="AB99" s="3"/>
      <c r="AC99" s="3">
        <v>10800</v>
      </c>
      <c r="AD99" s="3"/>
      <c r="AE99" s="3">
        <v>6298</v>
      </c>
      <c r="AF99" s="3"/>
      <c r="AG99" s="3">
        <v>0</v>
      </c>
      <c r="AH99" s="3"/>
      <c r="AI99" s="3">
        <v>0</v>
      </c>
      <c r="AJ99" s="3"/>
      <c r="AK99" s="3">
        <v>0</v>
      </c>
      <c r="AL99" s="3"/>
      <c r="AM99" s="3">
        <v>0</v>
      </c>
      <c r="AN99" s="3"/>
      <c r="AO99" s="3">
        <v>0</v>
      </c>
      <c r="AP99" s="3"/>
      <c r="AQ99" s="3">
        <f t="shared" si="5"/>
        <v>1935673</v>
      </c>
      <c r="AR99" s="3"/>
      <c r="AS99" s="3">
        <f t="shared" si="6"/>
        <v>16272276</v>
      </c>
    </row>
    <row r="100" spans="1:45" s="24" customFormat="1">
      <c r="A100" s="3" t="s">
        <v>159</v>
      </c>
      <c r="B100" s="3"/>
      <c r="C100" s="3" t="s">
        <v>160</v>
      </c>
      <c r="D100" s="27"/>
      <c r="E100" s="3">
        <v>137364</v>
      </c>
      <c r="F100" s="27"/>
      <c r="G100" s="3">
        <v>0</v>
      </c>
      <c r="H100" s="3"/>
      <c r="I100" s="3">
        <v>1278662</v>
      </c>
      <c r="J100" s="3"/>
      <c r="K100" s="3">
        <v>23627</v>
      </c>
      <c r="L100" s="3"/>
      <c r="M100" s="3">
        <v>8738484</v>
      </c>
      <c r="N100" s="3"/>
      <c r="O100" s="3">
        <v>0</v>
      </c>
      <c r="P100" s="3"/>
      <c r="Q100" s="3">
        <v>0</v>
      </c>
      <c r="R100" s="3"/>
      <c r="S100" s="3">
        <v>0</v>
      </c>
      <c r="T100" s="3"/>
      <c r="U100" s="3">
        <v>162371</v>
      </c>
      <c r="V100" s="3"/>
      <c r="W100" s="8">
        <f t="shared" si="7"/>
        <v>10203144</v>
      </c>
      <c r="X100" s="3"/>
      <c r="Y100" s="3">
        <v>0</v>
      </c>
      <c r="Z100" s="3"/>
      <c r="AA100" s="3">
        <v>0</v>
      </c>
      <c r="AB100" s="3"/>
      <c r="AC100" s="3">
        <v>0</v>
      </c>
      <c r="AD100" s="3"/>
      <c r="AE100" s="3">
        <v>0</v>
      </c>
      <c r="AF100" s="3"/>
      <c r="AG100" s="3">
        <v>0</v>
      </c>
      <c r="AH100" s="3"/>
      <c r="AI100" s="3">
        <v>0</v>
      </c>
      <c r="AJ100" s="3"/>
      <c r="AK100" s="3">
        <v>0</v>
      </c>
      <c r="AL100" s="3"/>
      <c r="AM100" s="3">
        <v>0</v>
      </c>
      <c r="AN100" s="3"/>
      <c r="AO100" s="3">
        <v>0</v>
      </c>
      <c r="AP100" s="3"/>
      <c r="AQ100" s="3">
        <f t="shared" si="5"/>
        <v>0</v>
      </c>
      <c r="AR100" s="3"/>
      <c r="AS100" s="3">
        <f t="shared" si="6"/>
        <v>10203144</v>
      </c>
    </row>
    <row r="101" spans="1:45" s="24" customFormat="1">
      <c r="A101" s="3" t="s">
        <v>190</v>
      </c>
      <c r="B101" s="3"/>
      <c r="C101" s="3" t="s">
        <v>191</v>
      </c>
      <c r="D101" s="27"/>
      <c r="E101" s="3">
        <v>48280</v>
      </c>
      <c r="F101" s="27"/>
      <c r="G101" s="3">
        <v>0</v>
      </c>
      <c r="H101" s="3"/>
      <c r="I101" s="3">
        <f>1871694+127677</f>
        <v>1999371</v>
      </c>
      <c r="J101" s="3"/>
      <c r="K101" s="3">
        <v>151774</v>
      </c>
      <c r="L101" s="3"/>
      <c r="M101" s="3">
        <v>11027364</v>
      </c>
      <c r="N101" s="3"/>
      <c r="O101" s="3">
        <v>0</v>
      </c>
      <c r="P101" s="3"/>
      <c r="Q101" s="3">
        <v>0</v>
      </c>
      <c r="R101" s="3"/>
      <c r="S101" s="3">
        <v>0</v>
      </c>
      <c r="T101" s="3"/>
      <c r="U101" s="3">
        <f>2570732+41241</f>
        <v>2611973</v>
      </c>
      <c r="V101" s="3"/>
      <c r="W101" s="8">
        <f t="shared" si="7"/>
        <v>15790482</v>
      </c>
      <c r="X101" s="3"/>
      <c r="Y101" s="3">
        <v>0</v>
      </c>
      <c r="Z101" s="3"/>
      <c r="AA101" s="3">
        <v>0</v>
      </c>
      <c r="AB101" s="3"/>
      <c r="AC101" s="3">
        <v>0</v>
      </c>
      <c r="AD101" s="3"/>
      <c r="AE101" s="3">
        <v>0</v>
      </c>
      <c r="AF101" s="3"/>
      <c r="AG101" s="3">
        <v>0</v>
      </c>
      <c r="AH101" s="3"/>
      <c r="AI101" s="3">
        <v>0</v>
      </c>
      <c r="AJ101" s="3"/>
      <c r="AK101" s="3">
        <v>0</v>
      </c>
      <c r="AL101" s="3"/>
      <c r="AM101" s="3">
        <v>0</v>
      </c>
      <c r="AN101" s="3"/>
      <c r="AO101" s="3">
        <v>0</v>
      </c>
      <c r="AP101" s="3"/>
      <c r="AQ101" s="3">
        <f t="shared" ref="AQ101:AQ125" si="9">SUM(Y101:AO101)</f>
        <v>0</v>
      </c>
      <c r="AR101" s="3"/>
      <c r="AS101" s="3">
        <f t="shared" ref="AS101:AS125" si="10">+AQ101+W101</f>
        <v>15790482</v>
      </c>
    </row>
    <row r="102" spans="1:45" s="24" customFormat="1">
      <c r="A102" s="3" t="s">
        <v>192</v>
      </c>
      <c r="B102" s="3"/>
      <c r="C102" s="3" t="s">
        <v>193</v>
      </c>
      <c r="D102" s="27"/>
      <c r="E102" s="3">
        <v>48454</v>
      </c>
      <c r="F102" s="27"/>
      <c r="G102" s="3">
        <v>0</v>
      </c>
      <c r="H102" s="3"/>
      <c r="I102" s="3">
        <v>1558452</v>
      </c>
      <c r="J102" s="3"/>
      <c r="K102" s="3">
        <v>28332</v>
      </c>
      <c r="L102" s="3"/>
      <c r="M102" s="3">
        <v>100153</v>
      </c>
      <c r="N102" s="3"/>
      <c r="O102" s="3">
        <v>0</v>
      </c>
      <c r="P102" s="3"/>
      <c r="Q102" s="3">
        <v>0</v>
      </c>
      <c r="R102" s="3"/>
      <c r="S102" s="3">
        <v>0</v>
      </c>
      <c r="T102" s="3"/>
      <c r="U102" s="3">
        <v>3938832</v>
      </c>
      <c r="V102" s="3"/>
      <c r="W102" s="8">
        <f t="shared" si="7"/>
        <v>5625769</v>
      </c>
      <c r="X102" s="3"/>
      <c r="Y102" s="3">
        <v>0</v>
      </c>
      <c r="Z102" s="3"/>
      <c r="AA102" s="3">
        <v>0</v>
      </c>
      <c r="AB102" s="3"/>
      <c r="AC102" s="3">
        <v>0</v>
      </c>
      <c r="AD102" s="3"/>
      <c r="AE102" s="3">
        <v>0</v>
      </c>
      <c r="AF102" s="3"/>
      <c r="AG102" s="3">
        <v>0</v>
      </c>
      <c r="AH102" s="3"/>
      <c r="AI102" s="3">
        <v>0</v>
      </c>
      <c r="AJ102" s="3"/>
      <c r="AK102" s="3">
        <v>0</v>
      </c>
      <c r="AL102" s="3"/>
      <c r="AM102" s="3">
        <v>0</v>
      </c>
      <c r="AN102" s="3"/>
      <c r="AO102" s="3">
        <v>0</v>
      </c>
      <c r="AP102" s="3"/>
      <c r="AQ102" s="3">
        <f t="shared" si="9"/>
        <v>0</v>
      </c>
      <c r="AR102" s="3"/>
      <c r="AS102" s="3">
        <f t="shared" si="10"/>
        <v>5625769</v>
      </c>
    </row>
    <row r="103" spans="1:45" s="24" customFormat="1" hidden="1">
      <c r="A103" s="3" t="s">
        <v>348</v>
      </c>
      <c r="B103" s="3"/>
      <c r="C103" s="3" t="s">
        <v>195</v>
      </c>
      <c r="D103" s="27"/>
      <c r="E103" s="3">
        <v>48546</v>
      </c>
      <c r="F103" s="27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8">
        <f t="shared" si="7"/>
        <v>0</v>
      </c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>
        <f t="shared" si="9"/>
        <v>0</v>
      </c>
      <c r="AR103" s="3"/>
      <c r="AS103" s="3">
        <f t="shared" si="10"/>
        <v>0</v>
      </c>
    </row>
    <row r="104" spans="1:45" s="24" customFormat="1">
      <c r="A104" s="3" t="s">
        <v>196</v>
      </c>
      <c r="B104" s="3"/>
      <c r="C104" s="3" t="s">
        <v>197</v>
      </c>
      <c r="D104" s="27"/>
      <c r="E104" s="3">
        <v>48603</v>
      </c>
      <c r="F104" s="27"/>
      <c r="G104" s="3">
        <v>0</v>
      </c>
      <c r="H104" s="3"/>
      <c r="I104" s="3">
        <v>1218970</v>
      </c>
      <c r="J104" s="3"/>
      <c r="K104" s="3">
        <v>8805</v>
      </c>
      <c r="L104" s="3"/>
      <c r="M104" s="3">
        <v>9934356</v>
      </c>
      <c r="N104" s="3"/>
      <c r="O104" s="3">
        <v>0</v>
      </c>
      <c r="P104" s="3"/>
      <c r="Q104" s="3">
        <v>0</v>
      </c>
      <c r="R104" s="3"/>
      <c r="S104" s="3">
        <v>1250</v>
      </c>
      <c r="T104" s="3"/>
      <c r="U104" s="3">
        <f>120000+131218</f>
        <v>251218</v>
      </c>
      <c r="V104" s="3"/>
      <c r="W104" s="8">
        <f t="shared" si="7"/>
        <v>11414599</v>
      </c>
      <c r="X104" s="3"/>
      <c r="Y104" s="3">
        <v>0</v>
      </c>
      <c r="Z104" s="3"/>
      <c r="AA104" s="3">
        <v>0</v>
      </c>
      <c r="AB104" s="3"/>
      <c r="AC104" s="3">
        <v>0</v>
      </c>
      <c r="AD104" s="3"/>
      <c r="AE104" s="3">
        <v>0</v>
      </c>
      <c r="AF104" s="3"/>
      <c r="AG104" s="3">
        <v>0</v>
      </c>
      <c r="AH104" s="3"/>
      <c r="AI104" s="3">
        <v>0</v>
      </c>
      <c r="AJ104" s="3"/>
      <c r="AK104" s="3">
        <v>0</v>
      </c>
      <c r="AL104" s="3"/>
      <c r="AM104" s="3">
        <v>0</v>
      </c>
      <c r="AN104" s="3"/>
      <c r="AO104" s="3">
        <v>0</v>
      </c>
      <c r="AP104" s="3"/>
      <c r="AQ104" s="3">
        <f t="shared" si="9"/>
        <v>0</v>
      </c>
      <c r="AR104" s="3"/>
      <c r="AS104" s="3">
        <f t="shared" si="10"/>
        <v>11414599</v>
      </c>
    </row>
    <row r="105" spans="1:45" s="24" customFormat="1" hidden="1">
      <c r="A105" s="3" t="s">
        <v>347</v>
      </c>
      <c r="B105" s="3"/>
      <c r="C105" s="3" t="s">
        <v>212</v>
      </c>
      <c r="D105" s="27"/>
      <c r="E105" s="3"/>
      <c r="F105" s="2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8">
        <f>SUM(G105:V105)</f>
        <v>0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>
        <f t="shared" si="9"/>
        <v>0</v>
      </c>
      <c r="AR105" s="3"/>
      <c r="AS105" s="3">
        <f t="shared" si="10"/>
        <v>0</v>
      </c>
    </row>
    <row r="106" spans="1:45" s="24" customFormat="1">
      <c r="A106" s="3" t="s">
        <v>198</v>
      </c>
      <c r="B106" s="3"/>
      <c r="C106" s="3" t="s">
        <v>199</v>
      </c>
      <c r="D106" s="27"/>
      <c r="E106" s="3">
        <v>48660</v>
      </c>
      <c r="F106" s="27"/>
      <c r="G106" s="3">
        <v>0</v>
      </c>
      <c r="H106" s="3"/>
      <c r="I106" s="3">
        <v>2105656</v>
      </c>
      <c r="J106" s="3"/>
      <c r="K106" s="3">
        <v>45306</v>
      </c>
      <c r="L106" s="3"/>
      <c r="M106" s="3">
        <v>17031891</v>
      </c>
      <c r="N106" s="3"/>
      <c r="O106" s="3">
        <v>0</v>
      </c>
      <c r="P106" s="3"/>
      <c r="Q106" s="3">
        <v>0</v>
      </c>
      <c r="R106" s="3"/>
      <c r="S106" s="3">
        <v>5000</v>
      </c>
      <c r="T106" s="3"/>
      <c r="U106" s="3">
        <f>269242+6945047+24756</f>
        <v>7239045</v>
      </c>
      <c r="V106" s="3"/>
      <c r="W106" s="8">
        <f t="shared" si="7"/>
        <v>26426898</v>
      </c>
      <c r="X106" s="3"/>
      <c r="Y106" s="3">
        <v>0</v>
      </c>
      <c r="Z106" s="3"/>
      <c r="AA106" s="3">
        <v>0</v>
      </c>
      <c r="AB106" s="3"/>
      <c r="AC106" s="3">
        <v>0</v>
      </c>
      <c r="AD106" s="3"/>
      <c r="AE106" s="3">
        <v>100</v>
      </c>
      <c r="AF106" s="3"/>
      <c r="AG106" s="3">
        <v>0</v>
      </c>
      <c r="AH106" s="3"/>
      <c r="AI106" s="3">
        <v>0</v>
      </c>
      <c r="AJ106" s="3"/>
      <c r="AK106" s="3">
        <v>0</v>
      </c>
      <c r="AL106" s="3"/>
      <c r="AM106" s="3">
        <v>0</v>
      </c>
      <c r="AN106" s="3"/>
      <c r="AO106" s="3">
        <v>0</v>
      </c>
      <c r="AP106" s="3"/>
      <c r="AQ106" s="3">
        <f t="shared" si="9"/>
        <v>100</v>
      </c>
      <c r="AR106" s="3"/>
      <c r="AS106" s="3">
        <f t="shared" si="10"/>
        <v>26426998</v>
      </c>
    </row>
    <row r="107" spans="1:45" s="24" customFormat="1">
      <c r="A107" s="3" t="s">
        <v>200</v>
      </c>
      <c r="B107" s="3"/>
      <c r="C107" s="3" t="s">
        <v>201</v>
      </c>
      <c r="D107" s="27"/>
      <c r="E107" s="3">
        <v>125252</v>
      </c>
      <c r="F107" s="27"/>
      <c r="G107" s="3">
        <v>0</v>
      </c>
      <c r="H107" s="3"/>
      <c r="I107" s="3">
        <v>1184065</v>
      </c>
      <c r="J107" s="3"/>
      <c r="K107" s="3">
        <v>35158</v>
      </c>
      <c r="L107" s="3"/>
      <c r="M107" s="3">
        <f>4191632+5980</f>
        <v>4197612</v>
      </c>
      <c r="N107" s="3"/>
      <c r="O107" s="3">
        <v>14878</v>
      </c>
      <c r="P107" s="3"/>
      <c r="Q107" s="3">
        <v>0</v>
      </c>
      <c r="R107" s="3"/>
      <c r="S107" s="3">
        <v>0</v>
      </c>
      <c r="T107" s="3"/>
      <c r="U107" s="3">
        <f>2494905+746296</f>
        <v>3241201</v>
      </c>
      <c r="V107" s="3"/>
      <c r="W107" s="8">
        <f t="shared" si="7"/>
        <v>8672914</v>
      </c>
      <c r="X107" s="3"/>
      <c r="Y107" s="3">
        <v>0</v>
      </c>
      <c r="Z107" s="3"/>
      <c r="AA107" s="3">
        <v>0</v>
      </c>
      <c r="AB107" s="3"/>
      <c r="AC107" s="3">
        <v>0</v>
      </c>
      <c r="AD107" s="3"/>
      <c r="AE107" s="3">
        <v>0</v>
      </c>
      <c r="AF107" s="3"/>
      <c r="AG107" s="3">
        <v>0</v>
      </c>
      <c r="AH107" s="3"/>
      <c r="AI107" s="3">
        <v>0</v>
      </c>
      <c r="AJ107" s="3"/>
      <c r="AK107" s="3">
        <v>0</v>
      </c>
      <c r="AL107" s="3"/>
      <c r="AM107" s="3">
        <v>0</v>
      </c>
      <c r="AN107" s="3"/>
      <c r="AO107" s="3">
        <v>0</v>
      </c>
      <c r="AP107" s="3"/>
      <c r="AQ107" s="3">
        <f t="shared" si="9"/>
        <v>0</v>
      </c>
      <c r="AR107" s="3"/>
      <c r="AS107" s="3">
        <f t="shared" si="10"/>
        <v>8672914</v>
      </c>
    </row>
    <row r="108" spans="1:45">
      <c r="A108" s="3" t="s">
        <v>326</v>
      </c>
      <c r="B108" s="3"/>
      <c r="C108" s="3" t="s">
        <v>218</v>
      </c>
      <c r="D108" s="21"/>
      <c r="E108" s="3">
        <v>123257</v>
      </c>
      <c r="F108" s="21"/>
      <c r="G108" s="3">
        <v>0</v>
      </c>
      <c r="H108" s="3"/>
      <c r="I108" s="3">
        <f>1146+3144592</f>
        <v>3145738</v>
      </c>
      <c r="J108" s="3"/>
      <c r="K108" s="3">
        <v>4502</v>
      </c>
      <c r="L108" s="3"/>
      <c r="M108" s="3">
        <v>8582644</v>
      </c>
      <c r="N108" s="3"/>
      <c r="O108" s="3">
        <v>0</v>
      </c>
      <c r="P108" s="3"/>
      <c r="Q108" s="3">
        <v>0</v>
      </c>
      <c r="R108" s="3"/>
      <c r="S108" s="3">
        <v>14248</v>
      </c>
      <c r="T108" s="3"/>
      <c r="U108" s="3">
        <f>13266+3620149+882841</f>
        <v>4516256</v>
      </c>
      <c r="V108" s="3"/>
      <c r="W108" s="8">
        <f t="shared" si="7"/>
        <v>16263388</v>
      </c>
      <c r="X108" s="3"/>
      <c r="Y108" s="3">
        <v>0</v>
      </c>
      <c r="Z108" s="3"/>
      <c r="AA108" s="3">
        <v>0</v>
      </c>
      <c r="AB108" s="3"/>
      <c r="AC108" s="3">
        <v>0</v>
      </c>
      <c r="AD108" s="3"/>
      <c r="AE108" s="3">
        <v>0</v>
      </c>
      <c r="AF108" s="3"/>
      <c r="AG108" s="3">
        <v>0</v>
      </c>
      <c r="AH108" s="3"/>
      <c r="AI108" s="3">
        <v>0</v>
      </c>
      <c r="AJ108" s="3"/>
      <c r="AK108" s="3">
        <v>0</v>
      </c>
      <c r="AL108" s="3"/>
      <c r="AM108" s="3">
        <v>0</v>
      </c>
      <c r="AN108" s="3"/>
      <c r="AO108" s="3">
        <f>791108-600391</f>
        <v>190717</v>
      </c>
      <c r="AP108" s="3"/>
      <c r="AQ108" s="3">
        <f t="shared" si="9"/>
        <v>190717</v>
      </c>
      <c r="AR108" s="3"/>
      <c r="AS108" s="3">
        <f t="shared" si="10"/>
        <v>16454105</v>
      </c>
    </row>
    <row r="109" spans="1:45">
      <c r="A109" s="3" t="s">
        <v>373</v>
      </c>
      <c r="B109" s="3"/>
      <c r="C109" s="3" t="s">
        <v>172</v>
      </c>
      <c r="D109" s="21"/>
      <c r="E109" s="3"/>
      <c r="F109" s="21"/>
      <c r="G109" s="3">
        <v>0</v>
      </c>
      <c r="H109" s="3"/>
      <c r="I109" s="3">
        <v>2676194</v>
      </c>
      <c r="J109" s="3"/>
      <c r="K109" s="3">
        <v>34359</v>
      </c>
      <c r="L109" s="3"/>
      <c r="M109" s="3">
        <v>16499601</v>
      </c>
      <c r="N109" s="3"/>
      <c r="O109" s="3">
        <v>0</v>
      </c>
      <c r="P109" s="3"/>
      <c r="Q109" s="3">
        <v>0</v>
      </c>
      <c r="R109" s="3"/>
      <c r="S109" s="3">
        <v>0</v>
      </c>
      <c r="T109" s="3"/>
      <c r="U109" s="3">
        <f>305560+62511</f>
        <v>368071</v>
      </c>
      <c r="V109" s="3"/>
      <c r="W109" s="8">
        <f t="shared" si="7"/>
        <v>19578225</v>
      </c>
      <c r="X109" s="3"/>
      <c r="Y109" s="3">
        <v>0</v>
      </c>
      <c r="Z109" s="3"/>
      <c r="AA109" s="3">
        <v>0</v>
      </c>
      <c r="AB109" s="3"/>
      <c r="AC109" s="3">
        <v>0</v>
      </c>
      <c r="AD109" s="3"/>
      <c r="AE109" s="3">
        <v>0</v>
      </c>
      <c r="AF109" s="3"/>
      <c r="AG109" s="3">
        <v>0</v>
      </c>
      <c r="AH109" s="3"/>
      <c r="AI109" s="3">
        <v>0</v>
      </c>
      <c r="AJ109" s="3"/>
      <c r="AK109" s="3">
        <v>0</v>
      </c>
      <c r="AL109" s="3"/>
      <c r="AM109" s="3">
        <v>0</v>
      </c>
      <c r="AN109" s="3"/>
      <c r="AO109" s="3">
        <v>0</v>
      </c>
      <c r="AP109" s="3"/>
      <c r="AQ109" s="3">
        <f t="shared" si="9"/>
        <v>0</v>
      </c>
      <c r="AR109" s="3"/>
      <c r="AS109" s="3">
        <f t="shared" si="10"/>
        <v>19578225</v>
      </c>
    </row>
    <row r="110" spans="1:45">
      <c r="A110" s="3" t="s">
        <v>176</v>
      </c>
      <c r="B110" s="3"/>
      <c r="C110" s="3" t="s">
        <v>242</v>
      </c>
      <c r="D110" s="21"/>
      <c r="E110" s="3">
        <v>124297</v>
      </c>
      <c r="F110" s="21"/>
      <c r="G110" s="3">
        <v>0</v>
      </c>
      <c r="H110" s="3"/>
      <c r="I110" s="3">
        <v>2513421</v>
      </c>
      <c r="J110" s="3"/>
      <c r="K110" s="3">
        <v>34483</v>
      </c>
      <c r="L110" s="3"/>
      <c r="M110" s="3">
        <v>15280632</v>
      </c>
      <c r="N110" s="3"/>
      <c r="O110" s="3">
        <v>0</v>
      </c>
      <c r="P110" s="3"/>
      <c r="Q110" s="3">
        <v>0</v>
      </c>
      <c r="R110" s="3"/>
      <c r="S110" s="3">
        <v>7210</v>
      </c>
      <c r="T110" s="3"/>
      <c r="U110" s="3">
        <f>333675+55853</f>
        <v>389528</v>
      </c>
      <c r="V110" s="3"/>
      <c r="W110" s="8">
        <f t="shared" si="7"/>
        <v>18225274</v>
      </c>
      <c r="X110" s="3"/>
      <c r="Y110" s="3">
        <v>0</v>
      </c>
      <c r="Z110" s="3"/>
      <c r="AA110" s="3">
        <v>0</v>
      </c>
      <c r="AB110" s="3"/>
      <c r="AC110" s="3">
        <v>0</v>
      </c>
      <c r="AD110" s="3"/>
      <c r="AE110" s="3">
        <v>0</v>
      </c>
      <c r="AF110" s="3"/>
      <c r="AG110" s="3">
        <v>0</v>
      </c>
      <c r="AH110" s="3"/>
      <c r="AI110" s="3">
        <v>0</v>
      </c>
      <c r="AJ110" s="3"/>
      <c r="AK110" s="3">
        <v>0</v>
      </c>
      <c r="AL110" s="3"/>
      <c r="AM110" s="3">
        <v>0</v>
      </c>
      <c r="AN110" s="3"/>
      <c r="AO110" s="3">
        <v>0</v>
      </c>
      <c r="AP110" s="3"/>
      <c r="AQ110" s="3">
        <f t="shared" si="9"/>
        <v>0</v>
      </c>
      <c r="AR110" s="3"/>
      <c r="AS110" s="3">
        <f t="shared" si="10"/>
        <v>18225274</v>
      </c>
    </row>
    <row r="111" spans="1:45">
      <c r="A111" s="3" t="s">
        <v>313</v>
      </c>
      <c r="B111" s="3"/>
      <c r="C111" s="3" t="s">
        <v>320</v>
      </c>
      <c r="D111" s="21"/>
      <c r="E111" s="3">
        <v>123521</v>
      </c>
      <c r="F111" s="21"/>
      <c r="G111" s="3">
        <v>0</v>
      </c>
      <c r="H111" s="3"/>
      <c r="I111" s="3">
        <v>2358113</v>
      </c>
      <c r="J111" s="3"/>
      <c r="K111" s="3">
        <v>2256</v>
      </c>
      <c r="L111" s="3"/>
      <c r="M111" s="3">
        <v>833312</v>
      </c>
      <c r="N111" s="3"/>
      <c r="O111" s="3">
        <v>0</v>
      </c>
      <c r="P111" s="3"/>
      <c r="Q111" s="3">
        <v>0</v>
      </c>
      <c r="R111" s="3"/>
      <c r="S111" s="3">
        <v>545</v>
      </c>
      <c r="T111" s="3"/>
      <c r="U111" s="3">
        <f>32899+5080839+30852</f>
        <v>5144590</v>
      </c>
      <c r="V111" s="3"/>
      <c r="W111" s="8">
        <f t="shared" si="7"/>
        <v>8338816</v>
      </c>
      <c r="X111" s="3"/>
      <c r="Y111" s="3">
        <v>0</v>
      </c>
      <c r="Z111" s="3"/>
      <c r="AA111" s="3">
        <v>0</v>
      </c>
      <c r="AB111" s="3"/>
      <c r="AC111" s="3">
        <v>0</v>
      </c>
      <c r="AD111" s="3"/>
      <c r="AE111" s="3">
        <v>0</v>
      </c>
      <c r="AF111" s="3"/>
      <c r="AG111" s="3">
        <v>0</v>
      </c>
      <c r="AH111" s="3"/>
      <c r="AI111" s="3">
        <v>0</v>
      </c>
      <c r="AJ111" s="3"/>
      <c r="AK111" s="3">
        <v>0</v>
      </c>
      <c r="AL111" s="3"/>
      <c r="AM111" s="3">
        <v>0</v>
      </c>
      <c r="AN111" s="3"/>
      <c r="AO111" s="3">
        <v>0</v>
      </c>
      <c r="AP111" s="3"/>
      <c r="AQ111" s="3">
        <f t="shared" si="9"/>
        <v>0</v>
      </c>
      <c r="AR111" s="3"/>
      <c r="AS111" s="3">
        <f t="shared" si="10"/>
        <v>8338816</v>
      </c>
    </row>
    <row r="112" spans="1:45" s="24" customFormat="1">
      <c r="A112" s="3" t="s">
        <v>202</v>
      </c>
      <c r="B112" s="3"/>
      <c r="C112" s="3" t="s">
        <v>203</v>
      </c>
      <c r="D112" s="27"/>
      <c r="E112" s="3">
        <v>125674</v>
      </c>
      <c r="F112" s="27"/>
      <c r="G112" s="3">
        <v>0</v>
      </c>
      <c r="H112" s="3"/>
      <c r="I112" s="3">
        <v>711766</v>
      </c>
      <c r="J112" s="3"/>
      <c r="K112" s="3">
        <v>1468</v>
      </c>
      <c r="L112" s="3"/>
      <c r="M112" s="3">
        <v>1023847</v>
      </c>
      <c r="N112" s="3"/>
      <c r="O112" s="3">
        <v>0</v>
      </c>
      <c r="P112" s="3"/>
      <c r="Q112" s="3">
        <v>0</v>
      </c>
      <c r="R112" s="3"/>
      <c r="S112" s="3">
        <v>0</v>
      </c>
      <c r="T112" s="3"/>
      <c r="U112" s="3">
        <f>2640823+768</f>
        <v>2641591</v>
      </c>
      <c r="V112" s="3"/>
      <c r="W112" s="8">
        <f t="shared" si="7"/>
        <v>4378672</v>
      </c>
      <c r="X112" s="3"/>
      <c r="Y112" s="3">
        <v>0</v>
      </c>
      <c r="Z112" s="3"/>
      <c r="AA112" s="3">
        <v>0</v>
      </c>
      <c r="AB112" s="3"/>
      <c r="AC112" s="3">
        <v>0</v>
      </c>
      <c r="AD112" s="3"/>
      <c r="AE112" s="3">
        <v>0</v>
      </c>
      <c r="AF112" s="3"/>
      <c r="AG112" s="3">
        <v>0</v>
      </c>
      <c r="AH112" s="3"/>
      <c r="AI112" s="3">
        <v>0</v>
      </c>
      <c r="AJ112" s="3"/>
      <c r="AK112" s="3">
        <v>0</v>
      </c>
      <c r="AL112" s="3"/>
      <c r="AM112" s="3">
        <v>0</v>
      </c>
      <c r="AN112" s="3"/>
      <c r="AO112" s="3">
        <v>0</v>
      </c>
      <c r="AP112" s="3"/>
      <c r="AQ112" s="3">
        <f t="shared" si="9"/>
        <v>0</v>
      </c>
      <c r="AR112" s="3"/>
      <c r="AS112" s="3">
        <f t="shared" si="10"/>
        <v>4378672</v>
      </c>
    </row>
    <row r="113" spans="1:45" s="24" customFormat="1">
      <c r="A113" s="3" t="s">
        <v>204</v>
      </c>
      <c r="B113" s="3"/>
      <c r="C113" s="3" t="s">
        <v>205</v>
      </c>
      <c r="D113" s="27"/>
      <c r="E113" s="3">
        <v>49072</v>
      </c>
      <c r="F113" s="27"/>
      <c r="G113" s="3">
        <v>0</v>
      </c>
      <c r="H113" s="3"/>
      <c r="I113" s="3">
        <v>548980</v>
      </c>
      <c r="J113" s="3"/>
      <c r="K113" s="3">
        <v>0</v>
      </c>
      <c r="L113" s="3"/>
      <c r="M113" s="3">
        <v>0</v>
      </c>
      <c r="N113" s="3"/>
      <c r="O113" s="3">
        <v>0</v>
      </c>
      <c r="P113" s="3"/>
      <c r="Q113" s="3">
        <v>0</v>
      </c>
      <c r="R113" s="3"/>
      <c r="S113" s="3">
        <v>0</v>
      </c>
      <c r="T113" s="3"/>
      <c r="U113" s="3">
        <f>2106428+6421+345+25284</f>
        <v>2138478</v>
      </c>
      <c r="V113" s="3"/>
      <c r="W113" s="8">
        <f t="shared" si="7"/>
        <v>2687458</v>
      </c>
      <c r="X113" s="3"/>
      <c r="Y113" s="3">
        <v>0</v>
      </c>
      <c r="Z113" s="3"/>
      <c r="AA113" s="3">
        <v>0</v>
      </c>
      <c r="AB113" s="3"/>
      <c r="AC113" s="3">
        <v>0</v>
      </c>
      <c r="AD113" s="3"/>
      <c r="AE113" s="3">
        <v>0</v>
      </c>
      <c r="AF113" s="3"/>
      <c r="AG113" s="3">
        <v>0</v>
      </c>
      <c r="AH113" s="3"/>
      <c r="AI113" s="3">
        <v>0</v>
      </c>
      <c r="AJ113" s="3"/>
      <c r="AK113" s="3">
        <v>0</v>
      </c>
      <c r="AL113" s="3"/>
      <c r="AM113" s="3">
        <v>0</v>
      </c>
      <c r="AN113" s="3"/>
      <c r="AO113" s="3">
        <v>0</v>
      </c>
      <c r="AP113" s="3"/>
      <c r="AQ113" s="3">
        <f t="shared" si="9"/>
        <v>0</v>
      </c>
      <c r="AR113" s="3"/>
      <c r="AS113" s="3">
        <f t="shared" si="10"/>
        <v>2687458</v>
      </c>
    </row>
    <row r="114" spans="1:45" s="24" customFormat="1">
      <c r="A114" s="3" t="s">
        <v>206</v>
      </c>
      <c r="B114" s="3"/>
      <c r="C114" s="3" t="s">
        <v>207</v>
      </c>
      <c r="D114" s="27"/>
      <c r="E114" s="3">
        <v>49163</v>
      </c>
      <c r="F114" s="27"/>
      <c r="G114" s="3">
        <v>0</v>
      </c>
      <c r="H114" s="3"/>
      <c r="I114" s="3">
        <v>1124027</v>
      </c>
      <c r="J114" s="3"/>
      <c r="K114" s="3">
        <v>996</v>
      </c>
      <c r="L114" s="3"/>
      <c r="M114" s="3">
        <v>4795242</v>
      </c>
      <c r="N114" s="3"/>
      <c r="O114" s="3">
        <v>0</v>
      </c>
      <c r="P114" s="3"/>
      <c r="Q114" s="3">
        <v>0</v>
      </c>
      <c r="R114" s="3"/>
      <c r="S114" s="3">
        <v>2350</v>
      </c>
      <c r="T114" s="3"/>
      <c r="U114" s="3">
        <v>314252</v>
      </c>
      <c r="V114" s="3"/>
      <c r="W114" s="8">
        <f t="shared" si="7"/>
        <v>6236867</v>
      </c>
      <c r="X114" s="3"/>
      <c r="Y114" s="3">
        <v>0</v>
      </c>
      <c r="Z114" s="3"/>
      <c r="AA114" s="3">
        <v>0</v>
      </c>
      <c r="AB114" s="3"/>
      <c r="AC114" s="3">
        <v>0</v>
      </c>
      <c r="AD114" s="3"/>
      <c r="AE114" s="3">
        <v>0</v>
      </c>
      <c r="AF114" s="3"/>
      <c r="AG114" s="3">
        <v>0</v>
      </c>
      <c r="AH114" s="3"/>
      <c r="AI114" s="3">
        <v>0</v>
      </c>
      <c r="AJ114" s="3"/>
      <c r="AK114" s="3">
        <v>0</v>
      </c>
      <c r="AL114" s="3"/>
      <c r="AM114" s="3">
        <v>0</v>
      </c>
      <c r="AN114" s="3"/>
      <c r="AO114" s="3">
        <v>0</v>
      </c>
      <c r="AP114" s="3"/>
      <c r="AQ114" s="3">
        <f t="shared" si="9"/>
        <v>0</v>
      </c>
      <c r="AR114" s="3"/>
      <c r="AS114" s="3">
        <f t="shared" si="10"/>
        <v>6236867</v>
      </c>
    </row>
    <row r="115" spans="1:45" s="24" customFormat="1" hidden="1">
      <c r="A115" s="3" t="s">
        <v>349</v>
      </c>
      <c r="B115" s="3"/>
      <c r="C115" s="3" t="s">
        <v>209</v>
      </c>
      <c r="D115" s="27"/>
      <c r="E115" s="3">
        <v>49254</v>
      </c>
      <c r="F115" s="2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8">
        <f t="shared" si="7"/>
        <v>0</v>
      </c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>
        <f t="shared" si="9"/>
        <v>0</v>
      </c>
      <c r="AR115" s="3"/>
      <c r="AS115" s="3">
        <f t="shared" si="10"/>
        <v>0</v>
      </c>
    </row>
    <row r="116" spans="1:45" s="24" customFormat="1">
      <c r="A116" s="3" t="s">
        <v>210</v>
      </c>
      <c r="B116" s="3"/>
      <c r="C116" s="3" t="s">
        <v>211</v>
      </c>
      <c r="D116" s="27"/>
      <c r="E116" s="3">
        <v>49304</v>
      </c>
      <c r="F116" s="27"/>
      <c r="G116" s="3">
        <v>0</v>
      </c>
      <c r="H116" s="3"/>
      <c r="I116" s="3">
        <f>48000+764942</f>
        <v>812942</v>
      </c>
      <c r="J116" s="3"/>
      <c r="K116" s="3">
        <v>26192</v>
      </c>
      <c r="L116" s="3"/>
      <c r="M116" s="3">
        <v>2058235</v>
      </c>
      <c r="N116" s="3"/>
      <c r="O116" s="3">
        <v>2255</v>
      </c>
      <c r="P116" s="3"/>
      <c r="Q116" s="3">
        <v>0</v>
      </c>
      <c r="R116" s="3"/>
      <c r="S116" s="3">
        <v>9256</v>
      </c>
      <c r="T116" s="3"/>
      <c r="U116" s="3">
        <f>76055+157840+10190</f>
        <v>244085</v>
      </c>
      <c r="V116" s="3"/>
      <c r="W116" s="8">
        <f t="shared" si="7"/>
        <v>3152965</v>
      </c>
      <c r="X116" s="3"/>
      <c r="Y116" s="3">
        <v>0</v>
      </c>
      <c r="Z116" s="3"/>
      <c r="AA116" s="3">
        <v>0</v>
      </c>
      <c r="AB116" s="3"/>
      <c r="AC116" s="3">
        <v>46497</v>
      </c>
      <c r="AD116" s="3"/>
      <c r="AE116" s="3">
        <v>0</v>
      </c>
      <c r="AF116" s="3"/>
      <c r="AG116" s="3">
        <v>0</v>
      </c>
      <c r="AH116" s="3"/>
      <c r="AI116" s="3">
        <v>0</v>
      </c>
      <c r="AJ116" s="3"/>
      <c r="AK116" s="3">
        <v>0</v>
      </c>
      <c r="AL116" s="3"/>
      <c r="AM116" s="3">
        <v>0</v>
      </c>
      <c r="AN116" s="3"/>
      <c r="AO116" s="3">
        <v>0</v>
      </c>
      <c r="AP116" s="3"/>
      <c r="AQ116" s="3">
        <f t="shared" si="9"/>
        <v>46497</v>
      </c>
      <c r="AR116" s="3"/>
      <c r="AS116" s="3">
        <f t="shared" si="10"/>
        <v>3199462</v>
      </c>
    </row>
    <row r="117" spans="1:45">
      <c r="A117" s="3" t="s">
        <v>213</v>
      </c>
      <c r="B117" s="3"/>
      <c r="C117" s="3" t="s">
        <v>214</v>
      </c>
      <c r="D117" s="21"/>
      <c r="E117" s="3">
        <v>138222</v>
      </c>
      <c r="F117" s="21"/>
      <c r="G117" s="3">
        <v>0</v>
      </c>
      <c r="H117" s="3"/>
      <c r="I117" s="3">
        <f>1537427+16631</f>
        <v>1554058</v>
      </c>
      <c r="J117" s="3"/>
      <c r="K117" s="3">
        <v>16396</v>
      </c>
      <c r="L117" s="3"/>
      <c r="M117" s="3">
        <v>5022469</v>
      </c>
      <c r="N117" s="3"/>
      <c r="O117" s="3">
        <v>0</v>
      </c>
      <c r="P117" s="3"/>
      <c r="Q117" s="3">
        <v>0</v>
      </c>
      <c r="R117" s="3"/>
      <c r="S117" s="3">
        <v>2861</v>
      </c>
      <c r="T117" s="3"/>
      <c r="U117" s="3">
        <f>51687+330973</f>
        <v>382660</v>
      </c>
      <c r="V117" s="3"/>
      <c r="W117" s="8">
        <f t="shared" si="7"/>
        <v>6978444</v>
      </c>
      <c r="X117" s="3"/>
      <c r="Y117" s="3">
        <v>0</v>
      </c>
      <c r="Z117" s="3"/>
      <c r="AA117" s="3">
        <v>0</v>
      </c>
      <c r="AB117" s="3"/>
      <c r="AC117" s="3">
        <v>0</v>
      </c>
      <c r="AD117" s="3"/>
      <c r="AE117" s="3">
        <v>710</v>
      </c>
      <c r="AF117" s="3"/>
      <c r="AG117" s="3">
        <v>0</v>
      </c>
      <c r="AH117" s="3"/>
      <c r="AI117" s="3">
        <v>0</v>
      </c>
      <c r="AJ117" s="3"/>
      <c r="AK117" s="3">
        <v>0</v>
      </c>
      <c r="AL117" s="3"/>
      <c r="AM117" s="3">
        <v>0</v>
      </c>
      <c r="AN117" s="3"/>
      <c r="AO117" s="3">
        <v>0</v>
      </c>
      <c r="AP117" s="3"/>
      <c r="AQ117" s="3">
        <f t="shared" si="9"/>
        <v>710</v>
      </c>
      <c r="AR117" s="3"/>
      <c r="AS117" s="3">
        <f t="shared" si="10"/>
        <v>6979154</v>
      </c>
    </row>
    <row r="118" spans="1:45" hidden="1">
      <c r="A118" s="3" t="s">
        <v>386</v>
      </c>
      <c r="B118" s="3"/>
      <c r="C118" s="3" t="s">
        <v>216</v>
      </c>
      <c r="D118" s="21"/>
      <c r="E118" s="3">
        <v>49551</v>
      </c>
      <c r="F118" s="21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8">
        <f t="shared" si="7"/>
        <v>0</v>
      </c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>
        <f t="shared" si="9"/>
        <v>0</v>
      </c>
      <c r="AR118" s="3"/>
      <c r="AS118" s="3">
        <f t="shared" si="10"/>
        <v>0</v>
      </c>
    </row>
    <row r="119" spans="1:45" s="24" customFormat="1">
      <c r="A119" s="3" t="s">
        <v>219</v>
      </c>
      <c r="B119" s="3"/>
      <c r="C119" s="3" t="s">
        <v>220</v>
      </c>
      <c r="D119" s="27"/>
      <c r="E119" s="3">
        <v>49742</v>
      </c>
      <c r="F119" s="27"/>
      <c r="G119" s="3">
        <v>0</v>
      </c>
      <c r="H119" s="3"/>
      <c r="I119" s="3">
        <f>932+380844</f>
        <v>381776</v>
      </c>
      <c r="J119" s="3"/>
      <c r="K119" s="3">
        <v>5976</v>
      </c>
      <c r="L119" s="3"/>
      <c r="M119" s="3">
        <v>0</v>
      </c>
      <c r="N119" s="3"/>
      <c r="O119" s="3">
        <v>0</v>
      </c>
      <c r="P119" s="3"/>
      <c r="Q119" s="3">
        <v>0</v>
      </c>
      <c r="R119" s="3"/>
      <c r="S119" s="3">
        <v>0</v>
      </c>
      <c r="T119" s="3"/>
      <c r="U119" s="3">
        <f>3166997+49133</f>
        <v>3216130</v>
      </c>
      <c r="V119" s="3"/>
      <c r="W119" s="8">
        <f t="shared" si="7"/>
        <v>3603882</v>
      </c>
      <c r="X119" s="3"/>
      <c r="Y119" s="3">
        <v>0</v>
      </c>
      <c r="Z119" s="3"/>
      <c r="AA119" s="3">
        <v>0</v>
      </c>
      <c r="AB119" s="3"/>
      <c r="AC119" s="3">
        <v>60915</v>
      </c>
      <c r="AD119" s="3"/>
      <c r="AE119" s="3">
        <v>0</v>
      </c>
      <c r="AF119" s="3"/>
      <c r="AG119" s="3">
        <v>0</v>
      </c>
      <c r="AH119" s="3"/>
      <c r="AI119" s="3">
        <v>0</v>
      </c>
      <c r="AJ119" s="3"/>
      <c r="AK119" s="3">
        <v>0</v>
      </c>
      <c r="AL119" s="3"/>
      <c r="AM119" s="3">
        <v>0</v>
      </c>
      <c r="AN119" s="3"/>
      <c r="AO119" s="3">
        <v>0</v>
      </c>
      <c r="AP119" s="3"/>
      <c r="AQ119" s="3">
        <f t="shared" si="9"/>
        <v>60915</v>
      </c>
      <c r="AR119" s="3"/>
      <c r="AS119" s="3">
        <f t="shared" si="10"/>
        <v>3664797</v>
      </c>
    </row>
    <row r="120" spans="1:45" s="24" customFormat="1">
      <c r="A120" s="3" t="s">
        <v>324</v>
      </c>
      <c r="B120" s="3"/>
      <c r="C120" s="3" t="s">
        <v>217</v>
      </c>
      <c r="D120" s="27"/>
      <c r="E120" s="3">
        <v>125658</v>
      </c>
      <c r="F120" s="27"/>
      <c r="G120" s="3">
        <v>0</v>
      </c>
      <c r="H120" s="3"/>
      <c r="I120" s="3">
        <v>1221358</v>
      </c>
      <c r="J120" s="3"/>
      <c r="K120" s="3">
        <v>14351</v>
      </c>
      <c r="L120" s="3"/>
      <c r="M120" s="3">
        <v>5162827</v>
      </c>
      <c r="N120" s="3"/>
      <c r="O120" s="3">
        <v>0</v>
      </c>
      <c r="P120" s="3"/>
      <c r="Q120" s="3">
        <v>0</v>
      </c>
      <c r="R120" s="3"/>
      <c r="S120" s="3">
        <v>26363</v>
      </c>
      <c r="T120" s="3"/>
      <c r="U120" s="3">
        <f>1049947+3028</f>
        <v>1052975</v>
      </c>
      <c r="V120" s="3"/>
      <c r="W120" s="8">
        <f t="shared" si="7"/>
        <v>7477874</v>
      </c>
      <c r="X120" s="3"/>
      <c r="Y120" s="3">
        <v>0</v>
      </c>
      <c r="Z120" s="3"/>
      <c r="AA120" s="3">
        <v>0</v>
      </c>
      <c r="AB120" s="3"/>
      <c r="AC120" s="3">
        <v>0</v>
      </c>
      <c r="AD120" s="3"/>
      <c r="AE120" s="3">
        <v>0</v>
      </c>
      <c r="AF120" s="3"/>
      <c r="AG120" s="3">
        <v>0</v>
      </c>
      <c r="AH120" s="3"/>
      <c r="AI120" s="3">
        <v>0</v>
      </c>
      <c r="AJ120" s="3"/>
      <c r="AK120" s="3">
        <v>0</v>
      </c>
      <c r="AL120" s="3"/>
      <c r="AM120" s="3">
        <v>0</v>
      </c>
      <c r="AN120" s="3"/>
      <c r="AO120" s="3">
        <v>0</v>
      </c>
      <c r="AP120" s="3"/>
      <c r="AQ120" s="3">
        <f t="shared" si="9"/>
        <v>0</v>
      </c>
      <c r="AR120" s="3"/>
      <c r="AS120" s="3">
        <f t="shared" si="10"/>
        <v>7477874</v>
      </c>
    </row>
    <row r="121" spans="1:45" s="24" customFormat="1">
      <c r="A121" s="3" t="s">
        <v>323</v>
      </c>
      <c r="B121" s="3"/>
      <c r="C121" s="3" t="s">
        <v>164</v>
      </c>
      <c r="D121" s="27"/>
      <c r="E121" s="3"/>
      <c r="F121" s="27"/>
      <c r="G121" s="3">
        <v>0</v>
      </c>
      <c r="H121" s="3"/>
      <c r="I121" s="3">
        <v>1153217</v>
      </c>
      <c r="J121" s="3"/>
      <c r="K121" s="3">
        <v>97665</v>
      </c>
      <c r="L121" s="3"/>
      <c r="M121" s="3">
        <f>2156171+219302</f>
        <v>2375473</v>
      </c>
      <c r="N121" s="3"/>
      <c r="O121" s="3">
        <v>0</v>
      </c>
      <c r="P121" s="3"/>
      <c r="Q121" s="3">
        <v>0</v>
      </c>
      <c r="R121" s="3"/>
      <c r="S121" s="3">
        <v>0</v>
      </c>
      <c r="T121" s="3"/>
      <c r="U121" s="3">
        <v>134567</v>
      </c>
      <c r="V121" s="3"/>
      <c r="W121" s="8">
        <f>SUM(G121:V121)</f>
        <v>3760922</v>
      </c>
      <c r="X121" s="3"/>
      <c r="Y121" s="3">
        <v>0</v>
      </c>
      <c r="Z121" s="3"/>
      <c r="AA121" s="3">
        <v>0</v>
      </c>
      <c r="AB121" s="3"/>
      <c r="AC121" s="3">
        <v>0</v>
      </c>
      <c r="AD121" s="3"/>
      <c r="AE121" s="3">
        <v>0</v>
      </c>
      <c r="AF121" s="3"/>
      <c r="AG121" s="3">
        <v>0</v>
      </c>
      <c r="AH121" s="3"/>
      <c r="AI121" s="3">
        <v>0</v>
      </c>
      <c r="AJ121" s="3"/>
      <c r="AK121" s="3">
        <v>0</v>
      </c>
      <c r="AL121" s="3"/>
      <c r="AM121" s="3">
        <v>0</v>
      </c>
      <c r="AN121" s="3"/>
      <c r="AO121" s="3">
        <v>0</v>
      </c>
      <c r="AP121" s="3"/>
      <c r="AQ121" s="3">
        <f t="shared" si="9"/>
        <v>0</v>
      </c>
      <c r="AR121" s="3"/>
      <c r="AS121" s="3">
        <f t="shared" si="10"/>
        <v>3760922</v>
      </c>
    </row>
    <row r="122" spans="1:45" s="24" customFormat="1">
      <c r="A122" s="16" t="s">
        <v>355</v>
      </c>
      <c r="B122" s="3"/>
      <c r="C122" s="3" t="s">
        <v>221</v>
      </c>
      <c r="D122" s="27"/>
      <c r="E122" s="3">
        <v>49825</v>
      </c>
      <c r="F122" s="27"/>
      <c r="G122" s="3">
        <v>0</v>
      </c>
      <c r="H122" s="3"/>
      <c r="I122" s="3">
        <f>3248444+51410</f>
        <v>3299854</v>
      </c>
      <c r="J122" s="3"/>
      <c r="K122" s="3">
        <v>37046</v>
      </c>
      <c r="L122" s="3"/>
      <c r="M122" s="3">
        <v>7297927</v>
      </c>
      <c r="N122" s="3"/>
      <c r="O122" s="3">
        <v>0</v>
      </c>
      <c r="P122" s="3"/>
      <c r="Q122" s="3">
        <v>0</v>
      </c>
      <c r="R122" s="3"/>
      <c r="S122" s="3">
        <v>15805</v>
      </c>
      <c r="T122" s="3"/>
      <c r="U122" s="3">
        <f>4750401+75746+200793</f>
        <v>5026940</v>
      </c>
      <c r="V122" s="3"/>
      <c r="W122" s="8">
        <f t="shared" si="7"/>
        <v>15677572</v>
      </c>
      <c r="X122" s="3"/>
      <c r="Y122" s="3">
        <v>0</v>
      </c>
      <c r="Z122" s="3"/>
      <c r="AA122" s="3">
        <v>0</v>
      </c>
      <c r="AB122" s="3"/>
      <c r="AC122" s="3">
        <v>0</v>
      </c>
      <c r="AD122" s="3"/>
      <c r="AE122" s="3">
        <v>250</v>
      </c>
      <c r="AF122" s="3"/>
      <c r="AG122" s="3">
        <v>0</v>
      </c>
      <c r="AH122" s="3"/>
      <c r="AI122" s="3">
        <v>0</v>
      </c>
      <c r="AJ122" s="3"/>
      <c r="AK122" s="3">
        <v>0</v>
      </c>
      <c r="AL122" s="3"/>
      <c r="AM122" s="3">
        <v>0</v>
      </c>
      <c r="AN122" s="3"/>
      <c r="AO122" s="3">
        <v>0</v>
      </c>
      <c r="AP122" s="3"/>
      <c r="AQ122" s="3">
        <f t="shared" si="9"/>
        <v>250</v>
      </c>
      <c r="AR122" s="3"/>
      <c r="AS122" s="3">
        <f t="shared" si="10"/>
        <v>15677822</v>
      </c>
    </row>
    <row r="123" spans="1:45" s="24" customFormat="1">
      <c r="A123" s="3" t="s">
        <v>222</v>
      </c>
      <c r="B123" s="3"/>
      <c r="C123" s="3" t="s">
        <v>223</v>
      </c>
      <c r="D123" s="27"/>
      <c r="E123" s="3">
        <v>49965</v>
      </c>
      <c r="F123" s="27"/>
      <c r="G123" s="3">
        <v>0</v>
      </c>
      <c r="H123" s="3"/>
      <c r="I123" s="3">
        <v>2311553</v>
      </c>
      <c r="J123" s="3"/>
      <c r="K123" s="3">
        <v>13157</v>
      </c>
      <c r="L123" s="3"/>
      <c r="M123" s="3">
        <v>1621441</v>
      </c>
      <c r="N123" s="3"/>
      <c r="O123" s="3">
        <v>0</v>
      </c>
      <c r="P123" s="3"/>
      <c r="Q123" s="3">
        <v>0</v>
      </c>
      <c r="R123" s="3"/>
      <c r="S123" s="3">
        <v>0</v>
      </c>
      <c r="T123" s="3"/>
      <c r="U123" s="3">
        <f>7556551+2142</f>
        <v>7558693</v>
      </c>
      <c r="V123" s="3"/>
      <c r="W123" s="8">
        <f t="shared" si="7"/>
        <v>11504844</v>
      </c>
      <c r="X123" s="3"/>
      <c r="Y123" s="3">
        <v>0</v>
      </c>
      <c r="Z123" s="3"/>
      <c r="AA123" s="3">
        <v>0</v>
      </c>
      <c r="AB123" s="3"/>
      <c r="AC123" s="3">
        <v>0</v>
      </c>
      <c r="AD123" s="3"/>
      <c r="AE123" s="3">
        <v>0</v>
      </c>
      <c r="AF123" s="3"/>
      <c r="AG123" s="3">
        <v>0</v>
      </c>
      <c r="AH123" s="3"/>
      <c r="AI123" s="3">
        <v>0</v>
      </c>
      <c r="AJ123" s="3"/>
      <c r="AK123" s="3">
        <v>0</v>
      </c>
      <c r="AL123" s="3"/>
      <c r="AM123" s="3">
        <v>0</v>
      </c>
      <c r="AN123" s="3"/>
      <c r="AO123" s="3">
        <v>0</v>
      </c>
      <c r="AP123" s="3"/>
      <c r="AQ123" s="3">
        <f t="shared" si="9"/>
        <v>0</v>
      </c>
      <c r="AR123" s="3"/>
      <c r="AS123" s="3">
        <f t="shared" si="10"/>
        <v>11504844</v>
      </c>
    </row>
    <row r="124" spans="1:45" s="24" customFormat="1">
      <c r="A124" s="3" t="s">
        <v>233</v>
      </c>
      <c r="B124" s="3"/>
      <c r="C124" s="3" t="s">
        <v>234</v>
      </c>
      <c r="D124" s="27"/>
      <c r="E124" s="3">
        <v>50526</v>
      </c>
      <c r="F124" s="27"/>
      <c r="G124" s="3">
        <v>0</v>
      </c>
      <c r="H124" s="3"/>
      <c r="I124" s="3">
        <f>4770+3199902</f>
        <v>3204672</v>
      </c>
      <c r="J124" s="3"/>
      <c r="K124" s="3">
        <v>37942</v>
      </c>
      <c r="L124" s="3"/>
      <c r="M124" s="3">
        <v>1750062</v>
      </c>
      <c r="N124" s="3"/>
      <c r="O124" s="3">
        <v>0</v>
      </c>
      <c r="P124" s="3"/>
      <c r="Q124" s="3">
        <v>0</v>
      </c>
      <c r="R124" s="3"/>
      <c r="S124" s="3">
        <v>0</v>
      </c>
      <c r="T124" s="3"/>
      <c r="U124" s="3">
        <f>48883+8084323</f>
        <v>8133206</v>
      </c>
      <c r="V124" s="3"/>
      <c r="W124" s="8">
        <f t="shared" si="7"/>
        <v>13125882</v>
      </c>
      <c r="X124" s="3"/>
      <c r="Y124" s="3">
        <v>0</v>
      </c>
      <c r="Z124" s="3"/>
      <c r="AA124" s="3">
        <v>0</v>
      </c>
      <c r="AB124" s="3"/>
      <c r="AC124" s="3">
        <v>0</v>
      </c>
      <c r="AD124" s="3"/>
      <c r="AE124" s="3">
        <v>0</v>
      </c>
      <c r="AF124" s="3"/>
      <c r="AG124" s="3">
        <v>0</v>
      </c>
      <c r="AH124" s="3"/>
      <c r="AI124" s="3">
        <v>0</v>
      </c>
      <c r="AJ124" s="3"/>
      <c r="AK124" s="3">
        <v>0</v>
      </c>
      <c r="AL124" s="3"/>
      <c r="AM124" s="3">
        <v>0</v>
      </c>
      <c r="AN124" s="3"/>
      <c r="AO124" s="3">
        <v>0</v>
      </c>
      <c r="AP124" s="3"/>
      <c r="AQ124" s="3">
        <f t="shared" si="9"/>
        <v>0</v>
      </c>
      <c r="AR124" s="3"/>
      <c r="AS124" s="3">
        <f t="shared" si="10"/>
        <v>13125882</v>
      </c>
    </row>
    <row r="125" spans="1:45" s="24" customFormat="1">
      <c r="A125" s="3" t="s">
        <v>224</v>
      </c>
      <c r="B125" s="3"/>
      <c r="C125" s="3" t="s">
        <v>225</v>
      </c>
      <c r="D125" s="27"/>
      <c r="E125" s="3">
        <v>50088</v>
      </c>
      <c r="F125" s="27"/>
      <c r="G125" s="3">
        <v>0</v>
      </c>
      <c r="H125" s="3"/>
      <c r="I125" s="3">
        <v>2131575</v>
      </c>
      <c r="J125" s="3"/>
      <c r="K125" s="3">
        <v>35119</v>
      </c>
      <c r="L125" s="3"/>
      <c r="M125" s="3">
        <v>14026923</v>
      </c>
      <c r="N125" s="3"/>
      <c r="O125" s="3">
        <v>54</v>
      </c>
      <c r="P125" s="3"/>
      <c r="Q125" s="3">
        <v>0</v>
      </c>
      <c r="R125" s="3"/>
      <c r="S125" s="3">
        <v>27306</v>
      </c>
      <c r="T125" s="3"/>
      <c r="U125" s="3">
        <f>57629+20012</f>
        <v>77641</v>
      </c>
      <c r="V125" s="3"/>
      <c r="W125" s="8">
        <f t="shared" si="7"/>
        <v>16298618</v>
      </c>
      <c r="X125" s="3"/>
      <c r="Y125" s="3">
        <v>0</v>
      </c>
      <c r="Z125" s="3"/>
      <c r="AA125" s="3">
        <v>0</v>
      </c>
      <c r="AB125" s="3"/>
      <c r="AC125" s="3">
        <v>0</v>
      </c>
      <c r="AD125" s="3"/>
      <c r="AE125" s="3">
        <v>0</v>
      </c>
      <c r="AF125" s="3"/>
      <c r="AG125" s="3">
        <v>0</v>
      </c>
      <c r="AH125" s="3"/>
      <c r="AI125" s="3">
        <v>0</v>
      </c>
      <c r="AJ125" s="3"/>
      <c r="AK125" s="3">
        <v>0</v>
      </c>
      <c r="AL125" s="3"/>
      <c r="AM125" s="3">
        <v>0</v>
      </c>
      <c r="AN125" s="3"/>
      <c r="AO125" s="3">
        <v>0</v>
      </c>
      <c r="AP125" s="3"/>
      <c r="AQ125" s="3">
        <f t="shared" si="9"/>
        <v>0</v>
      </c>
      <c r="AR125" s="3"/>
      <c r="AS125" s="3">
        <f t="shared" si="10"/>
        <v>16298618</v>
      </c>
    </row>
    <row r="126" spans="1:45" s="24" customFormat="1" hidden="1">
      <c r="A126" s="3" t="s">
        <v>385</v>
      </c>
      <c r="B126" s="3"/>
      <c r="C126" s="3" t="s">
        <v>227</v>
      </c>
      <c r="D126" s="27"/>
      <c r="E126" s="3">
        <v>50260</v>
      </c>
      <c r="F126" s="2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8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</row>
    <row r="127" spans="1:45" s="24" customFormat="1" hidden="1">
      <c r="A127" s="3" t="s">
        <v>352</v>
      </c>
      <c r="B127" s="3"/>
      <c r="C127" s="3" t="s">
        <v>231</v>
      </c>
      <c r="D127" s="27"/>
      <c r="E127" s="3">
        <v>50401</v>
      </c>
      <c r="F127" s="2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8">
        <f t="shared" si="7"/>
        <v>0</v>
      </c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>
        <f>SUM(Y127:AO127)</f>
        <v>0</v>
      </c>
      <c r="AR127" s="3"/>
      <c r="AS127" s="3">
        <f>+AQ127+W127</f>
        <v>0</v>
      </c>
    </row>
    <row r="128" spans="1:45" s="24" customFormat="1" hidden="1">
      <c r="A128" s="3" t="s">
        <v>387</v>
      </c>
      <c r="B128" s="3"/>
      <c r="C128" s="3" t="s">
        <v>232</v>
      </c>
      <c r="D128" s="27"/>
      <c r="E128" s="3">
        <v>50476</v>
      </c>
      <c r="F128" s="27"/>
      <c r="G128" s="3"/>
      <c r="H128" s="3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3"/>
      <c r="W128" s="8">
        <f t="shared" si="7"/>
        <v>0</v>
      </c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>
        <f>SUM(Y128:AO128)</f>
        <v>0</v>
      </c>
      <c r="AR128" s="3"/>
      <c r="AS128" s="3">
        <f>+AQ128+W128</f>
        <v>0</v>
      </c>
    </row>
    <row r="129" spans="1:45" s="24" customFormat="1">
      <c r="A129" s="3" t="s">
        <v>228</v>
      </c>
      <c r="B129" s="3"/>
      <c r="C129" s="16" t="s">
        <v>317</v>
      </c>
      <c r="D129" s="27"/>
      <c r="E129" s="3">
        <v>134999</v>
      </c>
      <c r="F129" s="27"/>
      <c r="G129" s="3">
        <v>0</v>
      </c>
      <c r="H129" s="3"/>
      <c r="I129" s="3">
        <v>797070</v>
      </c>
      <c r="J129" s="3"/>
      <c r="K129" s="3">
        <v>12584</v>
      </c>
      <c r="L129" s="3"/>
      <c r="M129" s="3">
        <v>182863</v>
      </c>
      <c r="N129" s="3"/>
      <c r="O129" s="3">
        <v>0</v>
      </c>
      <c r="P129" s="3"/>
      <c r="Q129" s="3">
        <v>0</v>
      </c>
      <c r="R129" s="3"/>
      <c r="S129" s="3">
        <v>0</v>
      </c>
      <c r="T129" s="3"/>
      <c r="U129" s="3">
        <f>3165744+1619</f>
        <v>3167363</v>
      </c>
      <c r="V129" s="3"/>
      <c r="W129" s="8">
        <f>SUM(G129:V129)</f>
        <v>4159880</v>
      </c>
      <c r="X129" s="3"/>
      <c r="Y129" s="3">
        <v>0</v>
      </c>
      <c r="Z129" s="3"/>
      <c r="AA129" s="3">
        <v>0</v>
      </c>
      <c r="AB129" s="3"/>
      <c r="AC129" s="3">
        <v>0</v>
      </c>
      <c r="AD129" s="3"/>
      <c r="AE129" s="3">
        <v>0</v>
      </c>
      <c r="AF129" s="3"/>
      <c r="AG129" s="3">
        <v>0</v>
      </c>
      <c r="AH129" s="3"/>
      <c r="AI129" s="3">
        <v>0</v>
      </c>
      <c r="AJ129" s="3"/>
      <c r="AK129" s="3">
        <v>0</v>
      </c>
      <c r="AL129" s="3"/>
      <c r="AM129" s="3">
        <v>0</v>
      </c>
      <c r="AN129" s="3"/>
      <c r="AO129" s="3">
        <v>0</v>
      </c>
      <c r="AP129" s="3"/>
      <c r="AQ129" s="3">
        <f>SUM(Y129:AO129)</f>
        <v>0</v>
      </c>
      <c r="AR129" s="3"/>
      <c r="AS129" s="3">
        <f>+AQ129+W129</f>
        <v>4159880</v>
      </c>
    </row>
    <row r="130" spans="1:45" s="24" customFormat="1">
      <c r="A130" s="3" t="s">
        <v>235</v>
      </c>
      <c r="B130" s="3"/>
      <c r="C130" s="3" t="s">
        <v>236</v>
      </c>
      <c r="D130" s="27"/>
      <c r="E130" s="3">
        <v>50666</v>
      </c>
      <c r="F130" s="27"/>
      <c r="G130" s="3">
        <v>0</v>
      </c>
      <c r="H130" s="3"/>
      <c r="I130" s="3">
        <v>1483900</v>
      </c>
      <c r="J130" s="3"/>
      <c r="K130" s="3">
        <v>62629</v>
      </c>
      <c r="L130" s="3"/>
      <c r="M130" s="3">
        <v>544430</v>
      </c>
      <c r="N130" s="3"/>
      <c r="O130" s="3">
        <v>0</v>
      </c>
      <c r="P130" s="3"/>
      <c r="Q130" s="3">
        <v>0</v>
      </c>
      <c r="R130" s="3"/>
      <c r="S130" s="3">
        <v>3925</v>
      </c>
      <c r="T130" s="3"/>
      <c r="U130" s="3">
        <f>11600916+96000</f>
        <v>11696916</v>
      </c>
      <c r="V130" s="3"/>
      <c r="W130" s="8">
        <f t="shared" si="7"/>
        <v>13791800</v>
      </c>
      <c r="X130" s="3"/>
      <c r="Y130" s="3">
        <v>0</v>
      </c>
      <c r="Z130" s="3"/>
      <c r="AA130" s="3">
        <v>0</v>
      </c>
      <c r="AB130" s="3"/>
      <c r="AC130" s="3">
        <v>0</v>
      </c>
      <c r="AD130" s="3"/>
      <c r="AE130" s="3">
        <v>0</v>
      </c>
      <c r="AF130" s="3"/>
      <c r="AG130" s="3">
        <v>0</v>
      </c>
      <c r="AH130" s="3"/>
      <c r="AI130" s="3">
        <v>0</v>
      </c>
      <c r="AJ130" s="3"/>
      <c r="AK130" s="3">
        <v>0</v>
      </c>
      <c r="AL130" s="3"/>
      <c r="AM130" s="3">
        <v>0</v>
      </c>
      <c r="AN130" s="3"/>
      <c r="AO130" s="3">
        <v>0</v>
      </c>
      <c r="AP130" s="3"/>
      <c r="AQ130" s="3">
        <f>SUM(Y130:AO130)</f>
        <v>0</v>
      </c>
      <c r="AR130" s="3"/>
      <c r="AS130" s="3">
        <f>+AQ130+W130</f>
        <v>13791800</v>
      </c>
    </row>
    <row r="131" spans="1:45">
      <c r="A131" s="3"/>
      <c r="B131" s="3"/>
      <c r="C131" s="3"/>
      <c r="D131" s="21"/>
      <c r="E131" s="3"/>
      <c r="F131" s="21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8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1:4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B132" s="21"/>
      <c r="AC132" s="17"/>
      <c r="AD132" s="21"/>
      <c r="AE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</row>
    <row r="133" spans="1:4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</row>
    <row r="134" spans="1:45">
      <c r="A134" s="74"/>
      <c r="B134" s="74"/>
      <c r="C134" s="74"/>
      <c r="D134" s="74"/>
      <c r="E134" s="74"/>
      <c r="F134" s="74"/>
      <c r="G134" s="74"/>
      <c r="H134" s="74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</row>
    <row r="135" spans="1:4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</row>
    <row r="136" spans="1:4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</row>
    <row r="137" spans="1:4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</row>
    <row r="138" spans="1:45">
      <c r="AB138" s="21"/>
      <c r="AC138" s="21"/>
      <c r="AD138" s="21"/>
      <c r="AE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</row>
    <row r="139" spans="1:45">
      <c r="AB139" s="21"/>
      <c r="AC139" s="21"/>
      <c r="AD139" s="21"/>
      <c r="AE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</row>
  </sheetData>
  <mergeCells count="3">
    <mergeCell ref="A134:H134"/>
    <mergeCell ref="A66:H66"/>
    <mergeCell ref="Y7:AE7"/>
  </mergeCells>
  <phoneticPr fontId="3" type="noConversion"/>
  <pageMargins left="0.9" right="0.75" top="0.5" bottom="0.5" header="0.25" footer="0.25"/>
  <pageSetup scale="80" firstPageNumber="26" pageOrder="overThenDown" orientation="portrait" useFirstPageNumber="1" r:id="rId1"/>
  <headerFooter scaleWithDoc="0" alignWithMargins="0">
    <oddFooter>&amp;C&amp;"Times New Roman,Regular"&amp;12&amp;P</oddFooter>
  </headerFooter>
  <rowBreaks count="1" manualBreakCount="1">
    <brk id="66" max="48" man="1"/>
  </rowBreaks>
  <colBreaks count="1" manualBreakCount="1">
    <brk id="15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X140"/>
  <sheetViews>
    <sheetView zoomScaleNormal="100" zoomScaleSheetLayoutView="80" workbookViewId="0">
      <pane xSplit="6" ySplit="11" topLeftCell="G12" activePane="bottomRight" state="frozen"/>
      <selection pane="topRight" activeCell="G1" sqref="G1"/>
      <selection pane="bottomLeft" activeCell="A12" sqref="A12"/>
      <selection pane="bottomRight" activeCell="G12" sqref="G12"/>
    </sheetView>
  </sheetViews>
  <sheetFormatPr defaultRowHeight="12.75"/>
  <cols>
    <col min="1" max="1" width="40.7109375" style="18" customWidth="1"/>
    <col min="2" max="2" width="1.7109375" style="18" customWidth="1"/>
    <col min="3" max="3" width="8.7109375" style="18" customWidth="1"/>
    <col min="4" max="4" width="1.7109375" style="18" hidden="1" customWidth="1"/>
    <col min="5" max="5" width="6.140625" style="18" hidden="1" customWidth="1"/>
    <col min="6" max="6" width="1.7109375" style="18" customWidth="1"/>
    <col min="7" max="7" width="11.7109375" style="18" customWidth="1"/>
    <col min="8" max="8" width="1.7109375" style="18" customWidth="1"/>
    <col min="9" max="9" width="11.7109375" style="18" customWidth="1"/>
    <col min="10" max="10" width="1.7109375" style="18" customWidth="1"/>
    <col min="11" max="11" width="11.7109375" style="18" customWidth="1"/>
    <col min="12" max="12" width="1.7109375" style="18" customWidth="1"/>
    <col min="13" max="13" width="11.7109375" style="18" customWidth="1"/>
    <col min="14" max="14" width="1.7109375" style="18" customWidth="1"/>
    <col min="15" max="15" width="11.7109375" style="18" customWidth="1"/>
    <col min="16" max="16" width="1.7109375" style="18" customWidth="1"/>
    <col min="17" max="17" width="11.7109375" style="18" customWidth="1"/>
    <col min="18" max="18" width="1.7109375" style="18" customWidth="1"/>
    <col min="19" max="19" width="11.7109375" style="18" customWidth="1"/>
    <col min="20" max="20" width="1.7109375" style="18" customWidth="1"/>
    <col min="21" max="21" width="11.7109375" style="18" customWidth="1"/>
    <col min="22" max="22" width="1.7109375" style="18" customWidth="1"/>
    <col min="23" max="23" width="11.7109375" style="18" customWidth="1"/>
    <col min="24" max="24" width="1.7109375" style="18" customWidth="1"/>
    <col min="25" max="25" width="11.7109375" style="18" customWidth="1"/>
    <col min="26" max="26" width="1.7109375" style="18" customWidth="1"/>
    <col min="27" max="27" width="11.7109375" style="18" customWidth="1"/>
    <col min="28" max="28" width="1.7109375" style="18" customWidth="1"/>
    <col min="29" max="29" width="11.7109375" style="18" customWidth="1"/>
    <col min="30" max="30" width="40.7109375" style="18" customWidth="1"/>
    <col min="31" max="31" width="1.7109375" style="18" customWidth="1"/>
    <col min="32" max="32" width="8.7109375" style="18" customWidth="1"/>
    <col min="33" max="33" width="1.7109375" style="18" customWidth="1"/>
    <col min="34" max="34" width="11.7109375" style="18" customWidth="1"/>
    <col min="35" max="35" width="1.7109375" style="18" customWidth="1"/>
    <col min="36" max="36" width="10" style="18" customWidth="1"/>
    <col min="37" max="37" width="1.7109375" style="18" customWidth="1"/>
    <col min="38" max="38" width="12.5703125" style="18" customWidth="1"/>
    <col min="39" max="39" width="1.7109375" style="18" customWidth="1"/>
    <col min="40" max="40" width="11.7109375" style="18" customWidth="1"/>
    <col min="41" max="41" width="1.7109375" style="18" customWidth="1"/>
    <col min="42" max="42" width="11.7109375" style="18" customWidth="1"/>
    <col min="43" max="43" width="1.7109375" style="18" customWidth="1"/>
    <col min="44" max="44" width="11.7109375" style="18" customWidth="1"/>
    <col min="45" max="45" width="1.7109375" style="18" customWidth="1"/>
    <col min="46" max="46" width="11.7109375" style="18" customWidth="1"/>
    <col min="47" max="47" width="1.7109375" style="18" customWidth="1"/>
    <col min="48" max="48" width="11.7109375" style="18" customWidth="1"/>
    <col min="49" max="49" width="1.7109375" style="18" customWidth="1"/>
    <col min="50" max="50" width="11.7109375" style="18" customWidth="1"/>
    <col min="51" max="51" width="1.7109375" style="18" customWidth="1"/>
    <col min="52" max="52" width="11.7109375" style="18" customWidth="1"/>
    <col min="53" max="53" width="1.7109375" style="18" customWidth="1"/>
    <col min="54" max="54" width="11.7109375" style="18" customWidth="1"/>
    <col min="55" max="55" width="1.7109375" style="18" customWidth="1"/>
    <col min="56" max="56" width="10.7109375" style="18" customWidth="1"/>
    <col min="57" max="57" width="40.7109375" style="18" customWidth="1"/>
    <col min="58" max="58" width="1.7109375" style="18" customWidth="1"/>
    <col min="59" max="59" width="8.7109375" style="18" customWidth="1"/>
    <col min="60" max="60" width="1.7109375" style="18" hidden="1" customWidth="1"/>
    <col min="61" max="61" width="10.7109375" style="18" hidden="1" customWidth="1"/>
    <col min="62" max="62" width="1.7109375" style="18" hidden="1" customWidth="1"/>
    <col min="63" max="63" width="11.7109375" style="18" hidden="1" customWidth="1"/>
    <col min="64" max="64" width="1.7109375" style="18" customWidth="1"/>
    <col min="65" max="65" width="12.85546875" style="18" customWidth="1"/>
    <col min="66" max="66" width="1.7109375" style="18" customWidth="1"/>
    <col min="67" max="67" width="13.140625" style="18" customWidth="1"/>
    <col min="68" max="68" width="1.7109375" style="18" customWidth="1"/>
    <col min="69" max="69" width="13.5703125" style="18" customWidth="1"/>
    <col min="70" max="70" width="1.7109375" style="18" customWidth="1"/>
    <col min="71" max="71" width="13.140625" style="18" customWidth="1"/>
    <col min="72" max="72" width="1.7109375" style="18" customWidth="1"/>
    <col min="73" max="73" width="11.7109375" style="18" customWidth="1"/>
    <col min="74" max="74" width="1.7109375" style="18" customWidth="1"/>
    <col min="75" max="75" width="11.7109375" style="18" customWidth="1"/>
    <col min="76" max="76" width="1.7109375" style="18" customWidth="1"/>
    <col min="77" max="16384" width="9.140625" style="18"/>
  </cols>
  <sheetData>
    <row r="1" spans="1:76" s="7" customFormat="1" ht="12">
      <c r="A1" s="48" t="s">
        <v>115</v>
      </c>
      <c r="B1" s="48"/>
      <c r="C1" s="48"/>
      <c r="D1" s="48"/>
      <c r="E1" s="48"/>
      <c r="F1" s="48"/>
      <c r="G1" s="48"/>
      <c r="H1" s="48"/>
      <c r="I1" s="59"/>
      <c r="J1" s="59"/>
      <c r="K1" s="59"/>
      <c r="L1" s="59"/>
      <c r="M1" s="59"/>
      <c r="N1" s="5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8"/>
      <c r="AC1" s="1"/>
      <c r="AD1" s="48" t="s">
        <v>115</v>
      </c>
      <c r="AE1" s="48"/>
      <c r="AF1" s="4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56"/>
      <c r="AT1" s="56"/>
      <c r="AU1" s="56"/>
      <c r="AV1" s="56"/>
      <c r="BE1" s="48" t="s">
        <v>115</v>
      </c>
      <c r="BF1" s="48"/>
      <c r="BG1" s="48"/>
      <c r="BU1" s="60"/>
    </row>
    <row r="2" spans="1:76" s="7" customFormat="1" ht="12">
      <c r="A2" s="48" t="s">
        <v>358</v>
      </c>
      <c r="B2" s="48"/>
      <c r="C2" s="48"/>
      <c r="D2" s="48"/>
      <c r="E2" s="48"/>
      <c r="F2" s="48"/>
      <c r="G2" s="48"/>
      <c r="H2" s="48"/>
      <c r="I2" s="59"/>
      <c r="J2" s="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8"/>
      <c r="AC2" s="1"/>
      <c r="AD2" s="48" t="s">
        <v>358</v>
      </c>
      <c r="AE2" s="48"/>
      <c r="AF2" s="48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56"/>
      <c r="AT2" s="56"/>
      <c r="AU2" s="56"/>
      <c r="AV2" s="56"/>
      <c r="BE2" s="48" t="s">
        <v>358</v>
      </c>
      <c r="BF2" s="48"/>
      <c r="BG2" s="48"/>
      <c r="BU2" s="60"/>
    </row>
    <row r="3" spans="1:76" s="7" customFormat="1" ht="12">
      <c r="A3" s="4"/>
      <c r="B3" s="48"/>
      <c r="C3" s="48"/>
      <c r="D3" s="48"/>
      <c r="E3" s="48"/>
      <c r="F3" s="48"/>
      <c r="G3" s="48"/>
      <c r="H3" s="48"/>
      <c r="I3" s="59"/>
      <c r="J3" s="5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48"/>
      <c r="AC3" s="1"/>
      <c r="AD3" s="4" t="s">
        <v>310</v>
      </c>
      <c r="AE3" s="48"/>
      <c r="AF3" s="48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56"/>
      <c r="AT3" s="56"/>
      <c r="AU3" s="56"/>
      <c r="AV3" s="56"/>
      <c r="BE3" s="4" t="s">
        <v>310</v>
      </c>
      <c r="BF3" s="48"/>
      <c r="BG3" s="48"/>
      <c r="BU3" s="60"/>
    </row>
    <row r="4" spans="1:76" s="3" customFormat="1" ht="12">
      <c r="A4" s="19" t="s">
        <v>316</v>
      </c>
      <c r="B4" s="4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"/>
      <c r="AC4" s="1"/>
      <c r="AD4" s="19" t="s">
        <v>316</v>
      </c>
      <c r="AE4" s="4"/>
      <c r="AF4" s="4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BE4" s="19" t="s">
        <v>316</v>
      </c>
      <c r="BF4" s="4"/>
      <c r="BG4" s="4"/>
      <c r="BU4" s="17"/>
    </row>
    <row r="5" spans="1:76" s="3" customFormat="1" ht="12">
      <c r="A5" s="4"/>
    </row>
    <row r="6" spans="1:76" s="7" customFormat="1" ht="12"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AB6" s="5"/>
      <c r="AE6" s="5"/>
      <c r="AF6" s="5"/>
      <c r="AL6" s="11"/>
      <c r="AN6" s="11"/>
      <c r="BF6" s="5"/>
      <c r="BG6" s="5"/>
    </row>
    <row r="7" spans="1:76" s="3" customFormat="1" ht="12">
      <c r="A7" s="20"/>
      <c r="B7" s="7"/>
      <c r="C7" s="7"/>
      <c r="D7" s="7"/>
      <c r="E7" s="7"/>
      <c r="G7" s="47" t="s">
        <v>58</v>
      </c>
      <c r="H7" s="47"/>
      <c r="I7" s="47"/>
      <c r="J7" s="47"/>
      <c r="K7" s="47"/>
      <c r="L7" s="47"/>
      <c r="M7" s="47"/>
      <c r="O7" s="73" t="s">
        <v>59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"/>
      <c r="AE7" s="7"/>
      <c r="AF7" s="7"/>
      <c r="AG7" s="70"/>
      <c r="AH7" s="73" t="s">
        <v>391</v>
      </c>
      <c r="AI7" s="73"/>
      <c r="AJ7" s="73"/>
      <c r="AL7" s="73" t="s">
        <v>356</v>
      </c>
      <c r="AM7" s="73"/>
      <c r="AN7" s="73"/>
      <c r="AV7" s="47" t="s">
        <v>116</v>
      </c>
      <c r="AW7" s="47"/>
      <c r="AX7" s="47"/>
      <c r="AY7" s="29"/>
      <c r="BB7" s="47" t="s">
        <v>117</v>
      </c>
      <c r="BC7" s="47"/>
      <c r="BD7" s="47"/>
      <c r="BE7" s="7"/>
      <c r="BF7" s="7"/>
      <c r="BG7" s="7"/>
      <c r="BH7" s="47"/>
      <c r="BI7" s="47"/>
      <c r="BJ7" s="47"/>
      <c r="BK7" s="47"/>
      <c r="BM7" s="11" t="s">
        <v>8</v>
      </c>
      <c r="BN7" s="11"/>
      <c r="BO7" s="11" t="s">
        <v>118</v>
      </c>
      <c r="BP7" s="11"/>
      <c r="BQ7" s="11" t="s">
        <v>97</v>
      </c>
      <c r="BR7" s="11"/>
      <c r="BS7" s="11"/>
      <c r="BT7" s="11"/>
      <c r="BU7" s="11" t="s">
        <v>97</v>
      </c>
      <c r="BV7" s="11"/>
      <c r="BW7" s="11" t="s">
        <v>4</v>
      </c>
    </row>
    <row r="8" spans="1:76" s="11" customFormat="1" ht="12">
      <c r="A8" s="67" t="s">
        <v>392</v>
      </c>
      <c r="B8" s="26"/>
      <c r="C8" s="26"/>
      <c r="D8" s="26"/>
      <c r="E8" s="26"/>
      <c r="F8" s="26"/>
      <c r="G8" s="26"/>
      <c r="H8" s="26"/>
      <c r="I8" s="26"/>
      <c r="J8" s="26"/>
      <c r="K8" s="26"/>
      <c r="AA8" s="11" t="s">
        <v>60</v>
      </c>
      <c r="AD8" s="67" t="s">
        <v>392</v>
      </c>
      <c r="BD8" s="11" t="s">
        <v>119</v>
      </c>
      <c r="BE8" s="67" t="s">
        <v>392</v>
      </c>
      <c r="BK8" s="11" t="s">
        <v>266</v>
      </c>
      <c r="BM8" s="11" t="s">
        <v>120</v>
      </c>
      <c r="BO8" s="11" t="s">
        <v>121</v>
      </c>
      <c r="BQ8" s="11" t="s">
        <v>122</v>
      </c>
      <c r="BS8" s="11" t="s">
        <v>261</v>
      </c>
      <c r="BU8" s="11" t="s">
        <v>122</v>
      </c>
      <c r="BW8" s="11" t="s">
        <v>11</v>
      </c>
    </row>
    <row r="9" spans="1:76" s="11" customFormat="1" ht="12">
      <c r="A9" s="2"/>
      <c r="B9" s="2"/>
      <c r="C9" s="2"/>
      <c r="D9" s="2"/>
      <c r="E9" s="2"/>
      <c r="G9" s="2"/>
      <c r="H9" s="2"/>
      <c r="I9" s="2"/>
      <c r="J9" s="2"/>
      <c r="K9" s="2"/>
      <c r="L9" s="2"/>
      <c r="M9" s="2"/>
      <c r="N9" s="2"/>
      <c r="O9" s="2"/>
      <c r="P9" s="2"/>
      <c r="Q9" s="2" t="s">
        <v>63</v>
      </c>
      <c r="R9" s="2"/>
      <c r="S9" s="2" t="s">
        <v>64</v>
      </c>
      <c r="T9" s="2"/>
      <c r="U9" s="2"/>
      <c r="V9" s="2"/>
      <c r="W9" s="2"/>
      <c r="X9" s="2"/>
      <c r="Y9" s="2"/>
      <c r="Z9" s="2"/>
      <c r="AA9" s="2" t="s">
        <v>65</v>
      </c>
      <c r="AB9" s="2"/>
      <c r="AC9" s="2" t="s">
        <v>66</v>
      </c>
      <c r="AD9" s="2"/>
      <c r="AE9" s="2"/>
      <c r="AF9" s="2"/>
      <c r="AG9" s="2"/>
      <c r="AH9" s="2"/>
      <c r="AI9" s="2"/>
      <c r="AJ9" s="2"/>
      <c r="AK9" s="2"/>
      <c r="AL9" s="11" t="s">
        <v>67</v>
      </c>
      <c r="AP9" s="11" t="s">
        <v>68</v>
      </c>
      <c r="AR9" s="11" t="s">
        <v>6</v>
      </c>
      <c r="AT9" s="11" t="s">
        <v>104</v>
      </c>
      <c r="AV9" s="11" t="s">
        <v>123</v>
      </c>
      <c r="AZ9" s="11" t="s">
        <v>8</v>
      </c>
      <c r="BB9" s="11" t="s">
        <v>69</v>
      </c>
      <c r="BD9" s="11" t="s">
        <v>87</v>
      </c>
      <c r="BE9" s="2"/>
      <c r="BF9" s="2"/>
      <c r="BG9" s="2"/>
      <c r="BI9" s="11" t="s">
        <v>124</v>
      </c>
      <c r="BK9" s="11" t="s">
        <v>265</v>
      </c>
      <c r="BM9" s="11" t="s">
        <v>42</v>
      </c>
      <c r="BO9" s="11" t="s">
        <v>97</v>
      </c>
      <c r="BQ9" s="2" t="s">
        <v>72</v>
      </c>
      <c r="BS9" s="11" t="s">
        <v>263</v>
      </c>
      <c r="BU9" s="2" t="s">
        <v>125</v>
      </c>
      <c r="BW9" s="11" t="s">
        <v>126</v>
      </c>
    </row>
    <row r="10" spans="1:76" s="11" customFormat="1" ht="12">
      <c r="A10" s="72" t="s">
        <v>354</v>
      </c>
      <c r="C10" s="72" t="s">
        <v>12</v>
      </c>
      <c r="E10" s="72" t="s">
        <v>13</v>
      </c>
      <c r="G10" s="10" t="s">
        <v>278</v>
      </c>
      <c r="I10" s="10" t="s">
        <v>75</v>
      </c>
      <c r="K10" s="10" t="s">
        <v>76</v>
      </c>
      <c r="M10" s="10" t="s">
        <v>87</v>
      </c>
      <c r="O10" s="10" t="s">
        <v>77</v>
      </c>
      <c r="Q10" s="10" t="s">
        <v>78</v>
      </c>
      <c r="S10" s="10" t="s">
        <v>79</v>
      </c>
      <c r="U10" s="10" t="s">
        <v>80</v>
      </c>
      <c r="W10" s="10" t="s">
        <v>81</v>
      </c>
      <c r="X10" s="2"/>
      <c r="Y10" s="72" t="s">
        <v>82</v>
      </c>
      <c r="AA10" s="10" t="s">
        <v>83</v>
      </c>
      <c r="AB10" s="2"/>
      <c r="AC10" s="72" t="s">
        <v>84</v>
      </c>
      <c r="AD10" s="72" t="s">
        <v>354</v>
      </c>
      <c r="AF10" s="72" t="s">
        <v>12</v>
      </c>
      <c r="AG10" s="2"/>
      <c r="AH10" s="72" t="s">
        <v>85</v>
      </c>
      <c r="AJ10" s="72" t="s">
        <v>87</v>
      </c>
      <c r="AL10" s="72" t="s">
        <v>86</v>
      </c>
      <c r="AN10" s="72" t="s">
        <v>87</v>
      </c>
      <c r="AO10" s="2"/>
      <c r="AP10" s="72" t="s">
        <v>52</v>
      </c>
      <c r="AQ10" s="2"/>
      <c r="AR10" s="72" t="s">
        <v>127</v>
      </c>
      <c r="AS10" s="2"/>
      <c r="AT10" s="72" t="s">
        <v>109</v>
      </c>
      <c r="AU10" s="2"/>
      <c r="AV10" s="72" t="s">
        <v>128</v>
      </c>
      <c r="AW10" s="2"/>
      <c r="AX10" s="72" t="s">
        <v>88</v>
      </c>
      <c r="AY10" s="2"/>
      <c r="AZ10" s="72" t="s">
        <v>120</v>
      </c>
      <c r="BA10" s="2"/>
      <c r="BB10" s="72" t="s">
        <v>89</v>
      </c>
      <c r="BC10" s="2"/>
      <c r="BD10" s="72" t="s">
        <v>129</v>
      </c>
      <c r="BE10" s="72" t="s">
        <v>354</v>
      </c>
      <c r="BG10" s="72" t="s">
        <v>12</v>
      </c>
      <c r="BH10" s="2"/>
      <c r="BI10" s="72" t="s">
        <v>89</v>
      </c>
      <c r="BJ10" s="2"/>
      <c r="BK10" s="2" t="s">
        <v>272</v>
      </c>
      <c r="BL10" s="2"/>
      <c r="BM10" s="72" t="s">
        <v>130</v>
      </c>
      <c r="BN10" s="2"/>
      <c r="BO10" s="72" t="s">
        <v>122</v>
      </c>
      <c r="BQ10" s="72" t="s">
        <v>92</v>
      </c>
      <c r="BS10" s="72" t="s">
        <v>262</v>
      </c>
      <c r="BU10" s="72" t="s">
        <v>92</v>
      </c>
      <c r="BW10" s="72" t="s">
        <v>20</v>
      </c>
    </row>
    <row r="11" spans="1:76" s="11" customFormat="1" ht="12">
      <c r="A11" s="2"/>
      <c r="C11" s="2"/>
      <c r="E11" s="2"/>
      <c r="G11" s="2"/>
      <c r="I11" s="2"/>
      <c r="K11" s="2"/>
      <c r="M11" s="2"/>
      <c r="O11" s="2"/>
      <c r="Q11" s="2"/>
      <c r="S11" s="2"/>
      <c r="U11" s="2"/>
      <c r="W11" s="2"/>
      <c r="X11" s="2"/>
      <c r="Y11" s="2"/>
      <c r="AA11" s="2"/>
      <c r="AC11" s="2"/>
      <c r="AG11" s="2"/>
      <c r="AH11" s="2"/>
      <c r="AJ11" s="2"/>
      <c r="AL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H11" s="2"/>
      <c r="BI11" s="2"/>
      <c r="BJ11" s="2"/>
      <c r="BK11" s="2"/>
      <c r="BL11" s="2"/>
      <c r="BM11" s="2"/>
      <c r="BN11" s="2"/>
      <c r="BO11" s="2"/>
      <c r="BQ11" s="2"/>
      <c r="BS11" s="2"/>
      <c r="BU11" s="2"/>
      <c r="BW11" s="2"/>
    </row>
    <row r="12" spans="1:76">
      <c r="A12" s="39" t="s">
        <v>308</v>
      </c>
      <c r="AD12" s="39" t="s">
        <v>308</v>
      </c>
      <c r="BE12" s="39" t="s">
        <v>308</v>
      </c>
    </row>
    <row r="13" spans="1:76">
      <c r="A13" s="39"/>
      <c r="AD13" s="39"/>
      <c r="BE13" s="39"/>
    </row>
    <row r="14" spans="1:76">
      <c r="A14" s="3" t="s">
        <v>359</v>
      </c>
      <c r="B14" s="3"/>
      <c r="C14" s="3" t="s">
        <v>321</v>
      </c>
      <c r="G14" s="34">
        <v>353869</v>
      </c>
      <c r="H14" s="34"/>
      <c r="I14" s="34">
        <v>152295</v>
      </c>
      <c r="J14" s="34"/>
      <c r="K14" s="34">
        <v>5896975</v>
      </c>
      <c r="L14" s="34"/>
      <c r="M14" s="34">
        <v>0</v>
      </c>
      <c r="N14" s="34"/>
      <c r="O14" s="34">
        <v>682961</v>
      </c>
      <c r="P14" s="34"/>
      <c r="Q14" s="34">
        <v>492351</v>
      </c>
      <c r="R14" s="34"/>
      <c r="S14" s="34">
        <v>42720</v>
      </c>
      <c r="T14" s="34"/>
      <c r="U14" s="34">
        <v>846523</v>
      </c>
      <c r="V14" s="34"/>
      <c r="W14" s="34">
        <v>454231</v>
      </c>
      <c r="X14" s="34"/>
      <c r="Y14" s="34">
        <v>0</v>
      </c>
      <c r="Z14" s="34"/>
      <c r="AA14" s="34">
        <v>1146497</v>
      </c>
      <c r="AB14" s="3"/>
      <c r="AC14" s="34">
        <v>10133</v>
      </c>
      <c r="AD14" s="3" t="s">
        <v>359</v>
      </c>
      <c r="AE14" s="3"/>
      <c r="AF14" s="3" t="s">
        <v>321</v>
      </c>
      <c r="AG14" s="34"/>
      <c r="AH14" s="34">
        <v>424221</v>
      </c>
      <c r="AI14" s="34"/>
      <c r="AJ14" s="34">
        <v>0</v>
      </c>
      <c r="AL14" s="34">
        <v>0</v>
      </c>
      <c r="AM14" s="34"/>
      <c r="AN14" s="34">
        <v>2860</v>
      </c>
      <c r="AO14" s="34"/>
      <c r="AP14" s="34">
        <v>28301</v>
      </c>
      <c r="AQ14" s="34"/>
      <c r="AR14" s="34">
        <v>0</v>
      </c>
      <c r="AS14" s="34"/>
      <c r="AT14" s="34">
        <v>0</v>
      </c>
      <c r="AU14" s="34"/>
      <c r="AV14" s="34">
        <v>0</v>
      </c>
      <c r="AW14" s="34"/>
      <c r="AX14" s="34">
        <v>0</v>
      </c>
      <c r="AY14" s="34"/>
      <c r="AZ14" s="34">
        <f>SUM(B14:AY14)</f>
        <v>10533937</v>
      </c>
      <c r="BA14" s="34"/>
      <c r="BB14" s="34">
        <v>50000</v>
      </c>
      <c r="BC14" s="34"/>
      <c r="BD14" s="34">
        <v>0</v>
      </c>
      <c r="BE14" s="3" t="s">
        <v>359</v>
      </c>
      <c r="BF14" s="3"/>
      <c r="BG14" s="3" t="s">
        <v>321</v>
      </c>
      <c r="BH14" s="34"/>
      <c r="BI14" s="34">
        <v>0</v>
      </c>
      <c r="BJ14" s="34"/>
      <c r="BK14" s="34">
        <v>0</v>
      </c>
      <c r="BL14" s="34"/>
      <c r="BM14" s="34">
        <f t="shared" ref="BM14:BM45" si="0">+BD14+BI14+BB14+AZ14</f>
        <v>10583937</v>
      </c>
      <c r="BN14" s="34"/>
      <c r="BO14" s="34">
        <f>GenRev!AS14-BM14</f>
        <v>278499</v>
      </c>
      <c r="BP14" s="34"/>
      <c r="BQ14" s="34">
        <v>3577315</v>
      </c>
      <c r="BR14" s="34"/>
      <c r="BS14" s="34">
        <v>0</v>
      </c>
      <c r="BT14" s="34"/>
      <c r="BU14" s="34">
        <f t="shared" ref="BU14:BU45" si="1">+BQ14+BO14-BS14</f>
        <v>3855814</v>
      </c>
      <c r="BV14" s="34"/>
      <c r="BW14" s="62">
        <f>+BU14-GenBS!AC14</f>
        <v>0</v>
      </c>
      <c r="BX14" s="34"/>
    </row>
    <row r="15" spans="1:76" s="16" customFormat="1" ht="12">
      <c r="A15" s="3" t="s">
        <v>286</v>
      </c>
      <c r="B15" s="3"/>
      <c r="C15" s="3" t="s">
        <v>151</v>
      </c>
      <c r="D15" s="3"/>
      <c r="E15" s="3">
        <v>62042</v>
      </c>
      <c r="F15" s="3"/>
      <c r="G15" s="3">
        <v>501521</v>
      </c>
      <c r="H15" s="3"/>
      <c r="I15" s="3">
        <v>223561</v>
      </c>
      <c r="J15" s="3"/>
      <c r="K15" s="3">
        <v>2491727</v>
      </c>
      <c r="L15" s="3"/>
      <c r="M15" s="3">
        <f>62431+10116</f>
        <v>72547</v>
      </c>
      <c r="N15" s="3"/>
      <c r="O15" s="3">
        <v>139233</v>
      </c>
      <c r="P15" s="3"/>
      <c r="Q15" s="3">
        <v>176062</v>
      </c>
      <c r="R15" s="3"/>
      <c r="S15" s="3">
        <v>70416</v>
      </c>
      <c r="T15" s="3"/>
      <c r="U15" s="3">
        <v>702500</v>
      </c>
      <c r="V15" s="3"/>
      <c r="W15" s="3">
        <v>396854</v>
      </c>
      <c r="X15" s="3"/>
      <c r="Y15" s="3">
        <v>3125</v>
      </c>
      <c r="Z15" s="3"/>
      <c r="AA15" s="3">
        <v>469758</v>
      </c>
      <c r="AC15" s="3">
        <v>6355</v>
      </c>
      <c r="AD15" s="3" t="s">
        <v>286</v>
      </c>
      <c r="AF15" s="16" t="s">
        <v>151</v>
      </c>
      <c r="AG15" s="3"/>
      <c r="AH15" s="3">
        <v>17301</v>
      </c>
      <c r="AI15" s="3"/>
      <c r="AJ15" s="3">
        <v>0</v>
      </c>
      <c r="AK15" s="3"/>
      <c r="AL15" s="3">
        <v>0</v>
      </c>
      <c r="AM15" s="3"/>
      <c r="AN15" s="3">
        <v>127706</v>
      </c>
      <c r="AO15" s="3"/>
      <c r="AP15" s="3">
        <v>29170</v>
      </c>
      <c r="AQ15" s="3"/>
      <c r="AR15" s="3">
        <v>0</v>
      </c>
      <c r="AS15" s="3"/>
      <c r="AT15" s="3">
        <v>0</v>
      </c>
      <c r="AU15" s="3"/>
      <c r="AV15" s="3">
        <v>0</v>
      </c>
      <c r="AW15" s="3"/>
      <c r="AX15" s="3">
        <v>0</v>
      </c>
      <c r="AY15" s="3"/>
      <c r="AZ15" s="3">
        <f>SUM(G15:AY15)</f>
        <v>5427836</v>
      </c>
      <c r="BA15" s="3"/>
      <c r="BB15" s="3">
        <v>97350</v>
      </c>
      <c r="BC15" s="3"/>
      <c r="BD15" s="3">
        <v>0</v>
      </c>
      <c r="BE15" s="3" t="s">
        <v>286</v>
      </c>
      <c r="BG15" s="16" t="s">
        <v>151</v>
      </c>
      <c r="BH15" s="3"/>
      <c r="BI15" s="3"/>
      <c r="BJ15" s="3"/>
      <c r="BK15" s="3"/>
      <c r="BL15" s="3"/>
      <c r="BM15" s="3">
        <f t="shared" si="0"/>
        <v>5525186</v>
      </c>
      <c r="BN15" s="3"/>
      <c r="BO15" s="3">
        <f>GenRev!AS15-BM15</f>
        <v>144410</v>
      </c>
      <c r="BP15" s="3"/>
      <c r="BQ15" s="3">
        <v>3934692</v>
      </c>
      <c r="BR15" s="3"/>
      <c r="BS15" s="3">
        <v>0</v>
      </c>
      <c r="BT15" s="3"/>
      <c r="BU15" s="3">
        <f t="shared" si="1"/>
        <v>4079102</v>
      </c>
      <c r="BV15" s="3"/>
      <c r="BW15" s="17">
        <f>+BU15-GenBS!AC15</f>
        <v>0</v>
      </c>
    </row>
    <row r="16" spans="1:76" s="16" customFormat="1" ht="12">
      <c r="A16" s="3" t="s">
        <v>237</v>
      </c>
      <c r="B16" s="3"/>
      <c r="C16" s="3" t="s">
        <v>152</v>
      </c>
      <c r="D16" s="3"/>
      <c r="E16" s="3">
        <v>50815</v>
      </c>
      <c r="F16" s="3"/>
      <c r="G16" s="3">
        <v>796200</v>
      </c>
      <c r="H16" s="3"/>
      <c r="I16" s="3">
        <v>386261</v>
      </c>
      <c r="J16" s="3"/>
      <c r="K16" s="3">
        <v>5125828</v>
      </c>
      <c r="L16" s="3"/>
      <c r="M16" s="3">
        <v>0</v>
      </c>
      <c r="N16" s="3"/>
      <c r="O16" s="3">
        <v>416409</v>
      </c>
      <c r="P16" s="3"/>
      <c r="Q16" s="3">
        <v>1331994</v>
      </c>
      <c r="R16" s="3"/>
      <c r="S16" s="3">
        <v>57251</v>
      </c>
      <c r="T16" s="3"/>
      <c r="U16" s="3">
        <v>657632</v>
      </c>
      <c r="V16" s="3"/>
      <c r="W16" s="3">
        <v>451544</v>
      </c>
      <c r="X16" s="3"/>
      <c r="Y16" s="3">
        <v>66182</v>
      </c>
      <c r="Z16" s="3"/>
      <c r="AA16" s="3">
        <v>1047450</v>
      </c>
      <c r="AC16" s="3">
        <v>42568</v>
      </c>
      <c r="AD16" s="3" t="s">
        <v>237</v>
      </c>
      <c r="AF16" s="16" t="s">
        <v>152</v>
      </c>
      <c r="AG16" s="3"/>
      <c r="AH16" s="3">
        <v>26239</v>
      </c>
      <c r="AI16" s="3"/>
      <c r="AJ16" s="3">
        <v>0</v>
      </c>
      <c r="AK16" s="3"/>
      <c r="AL16" s="3">
        <v>0</v>
      </c>
      <c r="AM16" s="3"/>
      <c r="AN16" s="3">
        <v>424</v>
      </c>
      <c r="AO16" s="3"/>
      <c r="AP16" s="3">
        <v>0</v>
      </c>
      <c r="AQ16" s="3"/>
      <c r="AR16" s="3">
        <v>0</v>
      </c>
      <c r="AS16" s="3"/>
      <c r="AT16" s="3">
        <v>0</v>
      </c>
      <c r="AU16" s="3"/>
      <c r="AV16" s="3">
        <v>0</v>
      </c>
      <c r="AW16" s="3"/>
      <c r="AX16" s="3">
        <v>0</v>
      </c>
      <c r="AY16" s="3"/>
      <c r="AZ16" s="3">
        <f>SUM(G16:AY16)</f>
        <v>10405982</v>
      </c>
      <c r="BA16" s="3"/>
      <c r="BB16" s="3">
        <v>113000</v>
      </c>
      <c r="BC16" s="3"/>
      <c r="BD16" s="3">
        <v>0</v>
      </c>
      <c r="BE16" s="3" t="s">
        <v>237</v>
      </c>
      <c r="BG16" s="16" t="s">
        <v>152</v>
      </c>
      <c r="BH16" s="3"/>
      <c r="BI16" s="3"/>
      <c r="BJ16" s="3"/>
      <c r="BK16" s="3"/>
      <c r="BL16" s="3"/>
      <c r="BM16" s="3">
        <f t="shared" si="0"/>
        <v>10518982</v>
      </c>
      <c r="BN16" s="3"/>
      <c r="BO16" s="3">
        <f>GenRev!AS16-BM16</f>
        <v>362373</v>
      </c>
      <c r="BP16" s="3"/>
      <c r="BQ16" s="3">
        <v>5910793</v>
      </c>
      <c r="BR16" s="3"/>
      <c r="BS16" s="3">
        <v>0</v>
      </c>
      <c r="BT16" s="3"/>
      <c r="BU16" s="3">
        <f t="shared" si="1"/>
        <v>6273166</v>
      </c>
      <c r="BV16" s="3"/>
      <c r="BW16" s="17">
        <f>+BU16-GenBS!AC16</f>
        <v>0</v>
      </c>
    </row>
    <row r="17" spans="1:75" s="16" customFormat="1" ht="12">
      <c r="A17" s="3" t="s">
        <v>360</v>
      </c>
      <c r="B17" s="3"/>
      <c r="C17" s="3" t="s">
        <v>154</v>
      </c>
      <c r="D17" s="3"/>
      <c r="E17" s="3">
        <v>51169</v>
      </c>
      <c r="F17" s="3"/>
      <c r="G17" s="3">
        <v>0</v>
      </c>
      <c r="H17" s="3"/>
      <c r="I17" s="3">
        <v>454977</v>
      </c>
      <c r="J17" s="3"/>
      <c r="K17" s="3">
        <v>3584889</v>
      </c>
      <c r="L17" s="3"/>
      <c r="M17" s="3">
        <v>7728</v>
      </c>
      <c r="N17" s="3"/>
      <c r="O17" s="3">
        <v>413781</v>
      </c>
      <c r="P17" s="3"/>
      <c r="Q17" s="3">
        <v>146427</v>
      </c>
      <c r="R17" s="3"/>
      <c r="S17" s="3">
        <v>100253</v>
      </c>
      <c r="T17" s="3"/>
      <c r="U17" s="3">
        <v>1028342</v>
      </c>
      <c r="V17" s="3"/>
      <c r="W17" s="3">
        <v>503021</v>
      </c>
      <c r="X17" s="3"/>
      <c r="Y17" s="3">
        <v>518</v>
      </c>
      <c r="Z17" s="3"/>
      <c r="AA17" s="3">
        <v>1291763</v>
      </c>
      <c r="AC17" s="3">
        <v>19908</v>
      </c>
      <c r="AD17" s="3" t="s">
        <v>360</v>
      </c>
      <c r="AF17" s="16" t="s">
        <v>154</v>
      </c>
      <c r="AG17" s="3"/>
      <c r="AH17" s="3">
        <v>502727</v>
      </c>
      <c r="AI17" s="3"/>
      <c r="AJ17" s="3">
        <v>0</v>
      </c>
      <c r="AK17" s="3"/>
      <c r="AL17" s="3">
        <v>0</v>
      </c>
      <c r="AM17" s="3"/>
      <c r="AN17" s="3">
        <v>8321</v>
      </c>
      <c r="AO17" s="3"/>
      <c r="AP17" s="3">
        <v>199</v>
      </c>
      <c r="AQ17" s="3"/>
      <c r="AR17" s="3">
        <v>0</v>
      </c>
      <c r="AS17" s="3"/>
      <c r="AT17" s="3">
        <v>0</v>
      </c>
      <c r="AU17" s="3"/>
      <c r="AV17" s="3">
        <v>0</v>
      </c>
      <c r="AW17" s="3"/>
      <c r="AX17" s="3">
        <v>0</v>
      </c>
      <c r="AY17" s="3"/>
      <c r="AZ17" s="3">
        <f t="shared" ref="AZ17:AZ64" si="2">SUM(G17:AY17)</f>
        <v>8062854</v>
      </c>
      <c r="BA17" s="3"/>
      <c r="BB17" s="3">
        <v>65819</v>
      </c>
      <c r="BC17" s="3"/>
      <c r="BD17" s="3">
        <v>0</v>
      </c>
      <c r="BE17" s="3" t="s">
        <v>360</v>
      </c>
      <c r="BG17" s="16" t="s">
        <v>154</v>
      </c>
      <c r="BH17" s="3"/>
      <c r="BI17" s="3"/>
      <c r="BJ17" s="3"/>
      <c r="BK17" s="3"/>
      <c r="BL17" s="3"/>
      <c r="BM17" s="3">
        <f t="shared" si="0"/>
        <v>8128673</v>
      </c>
      <c r="BN17" s="3"/>
      <c r="BO17" s="3">
        <f>GenRev!AS17-BM17</f>
        <v>1714789</v>
      </c>
      <c r="BP17" s="3"/>
      <c r="BQ17" s="3">
        <v>5124942</v>
      </c>
      <c r="BR17" s="3"/>
      <c r="BS17" s="3">
        <v>0</v>
      </c>
      <c r="BT17" s="3"/>
      <c r="BU17" s="3">
        <f t="shared" si="1"/>
        <v>6839731</v>
      </c>
      <c r="BV17" s="3"/>
      <c r="BW17" s="17">
        <f>+BU17-GenBS!AC17</f>
        <v>0</v>
      </c>
    </row>
    <row r="18" spans="1:75" s="16" customFormat="1" ht="12">
      <c r="A18" s="3" t="s">
        <v>361</v>
      </c>
      <c r="B18" s="3"/>
      <c r="C18" s="3" t="s">
        <v>157</v>
      </c>
      <c r="D18" s="3"/>
      <c r="E18" s="3">
        <v>50856</v>
      </c>
      <c r="F18" s="3"/>
      <c r="G18" s="3">
        <v>267485</v>
      </c>
      <c r="H18" s="3"/>
      <c r="I18" s="3">
        <v>0</v>
      </c>
      <c r="J18" s="3"/>
      <c r="K18" s="3">
        <v>3770433</v>
      </c>
      <c r="L18" s="3"/>
      <c r="M18" s="3">
        <v>0</v>
      </c>
      <c r="N18" s="3"/>
      <c r="O18" s="3">
        <v>790842</v>
      </c>
      <c r="P18" s="3"/>
      <c r="Q18" s="3">
        <v>11385</v>
      </c>
      <c r="R18" s="3"/>
      <c r="S18" s="3">
        <v>36069</v>
      </c>
      <c r="T18" s="3"/>
      <c r="U18" s="3">
        <v>509300</v>
      </c>
      <c r="V18" s="3"/>
      <c r="W18" s="3">
        <v>269054</v>
      </c>
      <c r="X18" s="3"/>
      <c r="Y18" s="3">
        <v>0</v>
      </c>
      <c r="Z18" s="3"/>
      <c r="AA18" s="3">
        <v>585910</v>
      </c>
      <c r="AC18" s="3">
        <v>0</v>
      </c>
      <c r="AD18" s="3" t="s">
        <v>361</v>
      </c>
      <c r="AF18" s="16" t="s">
        <v>157</v>
      </c>
      <c r="AG18" s="3"/>
      <c r="AH18" s="3">
        <v>173979</v>
      </c>
      <c r="AI18" s="3"/>
      <c r="AJ18" s="3">
        <v>0</v>
      </c>
      <c r="AK18" s="3"/>
      <c r="AL18" s="3">
        <v>0</v>
      </c>
      <c r="AM18" s="3"/>
      <c r="AN18" s="3">
        <v>0</v>
      </c>
      <c r="AO18" s="3"/>
      <c r="AP18" s="3">
        <v>18343</v>
      </c>
      <c r="AQ18" s="3"/>
      <c r="AR18" s="3">
        <v>0</v>
      </c>
      <c r="AS18" s="3"/>
      <c r="AT18" s="3">
        <v>0</v>
      </c>
      <c r="AU18" s="3"/>
      <c r="AV18" s="3">
        <v>33333</v>
      </c>
      <c r="AW18" s="3"/>
      <c r="AX18" s="3">
        <v>0</v>
      </c>
      <c r="AY18" s="3"/>
      <c r="AZ18" s="3">
        <f t="shared" si="2"/>
        <v>6466133</v>
      </c>
      <c r="BA18" s="3"/>
      <c r="BB18" s="3">
        <v>0</v>
      </c>
      <c r="BC18" s="3"/>
      <c r="BD18" s="3">
        <v>0</v>
      </c>
      <c r="BE18" s="3" t="s">
        <v>361</v>
      </c>
      <c r="BG18" s="16" t="s">
        <v>157</v>
      </c>
      <c r="BH18" s="3"/>
      <c r="BI18" s="3"/>
      <c r="BJ18" s="3"/>
      <c r="BK18" s="3"/>
      <c r="BL18" s="3"/>
      <c r="BM18" s="3">
        <f t="shared" si="0"/>
        <v>6466133</v>
      </c>
      <c r="BN18" s="3"/>
      <c r="BO18" s="3">
        <f>GenRev!AS18-BM18</f>
        <v>-92347</v>
      </c>
      <c r="BP18" s="3"/>
      <c r="BQ18" s="3">
        <v>110120</v>
      </c>
      <c r="BR18" s="3"/>
      <c r="BS18" s="3">
        <v>0</v>
      </c>
      <c r="BT18" s="3"/>
      <c r="BU18" s="3">
        <f t="shared" si="1"/>
        <v>17773</v>
      </c>
      <c r="BV18" s="3"/>
      <c r="BW18" s="17">
        <f>+BU18-GenBS!AC18</f>
        <v>0</v>
      </c>
    </row>
    <row r="19" spans="1:75" s="16" customFormat="1" ht="12">
      <c r="A19" s="3" t="s">
        <v>256</v>
      </c>
      <c r="B19" s="3"/>
      <c r="C19" s="3" t="s">
        <v>227</v>
      </c>
      <c r="D19" s="3"/>
      <c r="E19" s="3">
        <v>51656</v>
      </c>
      <c r="F19" s="3"/>
      <c r="G19" s="3">
        <v>1188664</v>
      </c>
      <c r="H19" s="3"/>
      <c r="I19" s="3">
        <v>532092</v>
      </c>
      <c r="J19" s="3"/>
      <c r="K19" s="3">
        <v>6035571</v>
      </c>
      <c r="L19" s="3"/>
      <c r="M19" s="3">
        <v>0</v>
      </c>
      <c r="N19" s="3"/>
      <c r="O19" s="3">
        <v>625470</v>
      </c>
      <c r="P19" s="3"/>
      <c r="Q19" s="3">
        <v>491047</v>
      </c>
      <c r="R19" s="3"/>
      <c r="S19" s="3">
        <v>115385</v>
      </c>
      <c r="T19" s="3"/>
      <c r="U19" s="3">
        <v>680790</v>
      </c>
      <c r="V19" s="3"/>
      <c r="W19" s="3">
        <v>377891</v>
      </c>
      <c r="X19" s="3"/>
      <c r="Y19" s="3">
        <v>0</v>
      </c>
      <c r="Z19" s="3"/>
      <c r="AA19" s="3">
        <v>1625066</v>
      </c>
      <c r="AC19" s="3">
        <v>5101</v>
      </c>
      <c r="AD19" s="3" t="s">
        <v>256</v>
      </c>
      <c r="AF19" s="16" t="s">
        <v>227</v>
      </c>
      <c r="AG19" s="3"/>
      <c r="AH19" s="3">
        <v>0</v>
      </c>
      <c r="AI19" s="3"/>
      <c r="AJ19" s="3">
        <v>0</v>
      </c>
      <c r="AK19" s="3"/>
      <c r="AL19" s="3">
        <v>0</v>
      </c>
      <c r="AM19" s="3"/>
      <c r="AN19" s="3">
        <v>0</v>
      </c>
      <c r="AO19" s="3"/>
      <c r="AP19" s="3">
        <v>4773</v>
      </c>
      <c r="AQ19" s="3"/>
      <c r="AR19" s="3">
        <v>0</v>
      </c>
      <c r="AS19" s="3"/>
      <c r="AT19" s="3">
        <v>0</v>
      </c>
      <c r="AU19" s="3"/>
      <c r="AV19" s="3">
        <v>44047</v>
      </c>
      <c r="AW19" s="3"/>
      <c r="AX19" s="3">
        <v>16241</v>
      </c>
      <c r="AY19" s="3"/>
      <c r="AZ19" s="3">
        <f t="shared" si="2"/>
        <v>11742138</v>
      </c>
      <c r="BA19" s="3"/>
      <c r="BB19" s="3">
        <v>45400</v>
      </c>
      <c r="BC19" s="3"/>
      <c r="BD19" s="3">
        <v>0</v>
      </c>
      <c r="BE19" s="3" t="s">
        <v>256</v>
      </c>
      <c r="BG19" s="16" t="s">
        <v>227</v>
      </c>
      <c r="BH19" s="3"/>
      <c r="BI19" s="3"/>
      <c r="BJ19" s="3"/>
      <c r="BK19" s="3"/>
      <c r="BL19" s="3"/>
      <c r="BM19" s="3">
        <f t="shared" si="0"/>
        <v>11787538</v>
      </c>
      <c r="BN19" s="3"/>
      <c r="BO19" s="3">
        <f>GenRev!AS19-BM19</f>
        <v>175658</v>
      </c>
      <c r="BP19" s="3"/>
      <c r="BQ19" s="3">
        <v>11768832</v>
      </c>
      <c r="BR19" s="3"/>
      <c r="BS19" s="3">
        <v>0</v>
      </c>
      <c r="BT19" s="3"/>
      <c r="BU19" s="3">
        <f t="shared" si="1"/>
        <v>11944490</v>
      </c>
      <c r="BV19" s="3"/>
      <c r="BW19" s="17">
        <f>+BU19-GenBS!AC19</f>
        <v>0</v>
      </c>
    </row>
    <row r="20" spans="1:75" s="16" customFormat="1" ht="12">
      <c r="A20" s="3" t="s">
        <v>337</v>
      </c>
      <c r="B20" s="3"/>
      <c r="C20" s="3" t="s">
        <v>155</v>
      </c>
      <c r="D20" s="3"/>
      <c r="E20" s="3">
        <v>50880</v>
      </c>
      <c r="F20" s="3"/>
      <c r="G20" s="3">
        <v>506074</v>
      </c>
      <c r="H20" s="3"/>
      <c r="I20" s="3">
        <v>0</v>
      </c>
      <c r="J20" s="3"/>
      <c r="K20" s="3">
        <v>20753274</v>
      </c>
      <c r="L20" s="3"/>
      <c r="M20" s="3">
        <v>0</v>
      </c>
      <c r="N20" s="3"/>
      <c r="O20" s="3">
        <v>1670538</v>
      </c>
      <c r="P20" s="3"/>
      <c r="Q20" s="3">
        <v>2874966</v>
      </c>
      <c r="R20" s="3"/>
      <c r="S20" s="3">
        <v>89221</v>
      </c>
      <c r="T20" s="3"/>
      <c r="U20" s="3">
        <v>2515820</v>
      </c>
      <c r="V20" s="3"/>
      <c r="W20" s="3">
        <v>1169987</v>
      </c>
      <c r="X20" s="3"/>
      <c r="Y20" s="3">
        <v>45782</v>
      </c>
      <c r="Z20" s="3"/>
      <c r="AA20" s="3">
        <v>3339782</v>
      </c>
      <c r="AC20" s="3">
        <v>42496</v>
      </c>
      <c r="AD20" s="3" t="s">
        <v>337</v>
      </c>
      <c r="AF20" s="16" t="s">
        <v>155</v>
      </c>
      <c r="AG20" s="3"/>
      <c r="AH20" s="3">
        <v>2707492</v>
      </c>
      <c r="AI20" s="3"/>
      <c r="AJ20" s="3">
        <v>0</v>
      </c>
      <c r="AK20" s="3"/>
      <c r="AL20" s="3">
        <v>0</v>
      </c>
      <c r="AM20" s="3"/>
      <c r="AN20" s="3">
        <v>89957</v>
      </c>
      <c r="AO20" s="3"/>
      <c r="AP20" s="3">
        <v>418723</v>
      </c>
      <c r="AQ20" s="3"/>
      <c r="AR20" s="3">
        <v>0</v>
      </c>
      <c r="AS20" s="3"/>
      <c r="AT20" s="3">
        <v>0</v>
      </c>
      <c r="AU20" s="3"/>
      <c r="AV20" s="3">
        <v>0</v>
      </c>
      <c r="AW20" s="3"/>
      <c r="AX20" s="3">
        <v>0</v>
      </c>
      <c r="AY20" s="3"/>
      <c r="AZ20" s="3">
        <f t="shared" si="2"/>
        <v>36224112</v>
      </c>
      <c r="BA20" s="3"/>
      <c r="BB20" s="3">
        <v>825000</v>
      </c>
      <c r="BC20" s="3"/>
      <c r="BD20" s="3">
        <v>0</v>
      </c>
      <c r="BE20" s="3" t="s">
        <v>337</v>
      </c>
      <c r="BG20" s="16" t="s">
        <v>155</v>
      </c>
      <c r="BH20" s="3"/>
      <c r="BI20" s="3"/>
      <c r="BJ20" s="3"/>
      <c r="BK20" s="3"/>
      <c r="BL20" s="3"/>
      <c r="BM20" s="3">
        <f t="shared" si="0"/>
        <v>37049112</v>
      </c>
      <c r="BN20" s="3"/>
      <c r="BO20" s="3">
        <f>GenRev!AS20-BM20</f>
        <v>2672088</v>
      </c>
      <c r="BP20" s="3"/>
      <c r="BQ20" s="3">
        <v>6329361</v>
      </c>
      <c r="BR20" s="3"/>
      <c r="BS20" s="3">
        <v>0</v>
      </c>
      <c r="BT20" s="3"/>
      <c r="BU20" s="3">
        <f t="shared" si="1"/>
        <v>9001449</v>
      </c>
      <c r="BV20" s="3"/>
      <c r="BW20" s="17">
        <f>+BU20-GenBS!AC20</f>
        <v>0</v>
      </c>
    </row>
    <row r="21" spans="1:75" s="16" customFormat="1" ht="12" hidden="1">
      <c r="A21" s="3" t="s">
        <v>340</v>
      </c>
      <c r="B21" s="3"/>
      <c r="C21" s="3" t="s">
        <v>248</v>
      </c>
      <c r="D21" s="3"/>
      <c r="E21" s="3">
        <v>63511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C21" s="3"/>
      <c r="AD21" s="3" t="s">
        <v>340</v>
      </c>
      <c r="AF21" s="16" t="s">
        <v>248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>
        <f t="shared" si="2"/>
        <v>0</v>
      </c>
      <c r="BA21" s="3"/>
      <c r="BB21" s="3"/>
      <c r="BC21" s="3"/>
      <c r="BD21" s="3"/>
      <c r="BE21" s="3" t="s">
        <v>340</v>
      </c>
      <c r="BG21" s="16" t="s">
        <v>248</v>
      </c>
      <c r="BH21" s="3"/>
      <c r="BI21" s="3"/>
      <c r="BJ21" s="3"/>
      <c r="BK21" s="3"/>
      <c r="BL21" s="3"/>
      <c r="BM21" s="3">
        <f t="shared" si="0"/>
        <v>0</v>
      </c>
      <c r="BN21" s="3"/>
      <c r="BO21" s="3">
        <f>GenRev!AS21-BM21</f>
        <v>0</v>
      </c>
      <c r="BP21" s="3"/>
      <c r="BQ21" s="3"/>
      <c r="BR21" s="3"/>
      <c r="BS21" s="3"/>
      <c r="BT21" s="3"/>
      <c r="BU21" s="3">
        <f t="shared" si="1"/>
        <v>0</v>
      </c>
      <c r="BV21" s="3"/>
      <c r="BW21" s="17">
        <f>+BU21-GenBS!AC21</f>
        <v>0</v>
      </c>
    </row>
    <row r="22" spans="1:75" s="16" customFormat="1" ht="12">
      <c r="A22" s="3" t="s">
        <v>338</v>
      </c>
      <c r="B22" s="3"/>
      <c r="C22" s="3" t="s">
        <v>165</v>
      </c>
      <c r="D22" s="3"/>
      <c r="E22" s="3">
        <v>50906</v>
      </c>
      <c r="F22" s="3"/>
      <c r="G22" s="3">
        <v>545186</v>
      </c>
      <c r="H22" s="3"/>
      <c r="I22" s="3">
        <v>194907</v>
      </c>
      <c r="J22" s="3"/>
      <c r="K22" s="3">
        <v>1888210</v>
      </c>
      <c r="L22" s="3"/>
      <c r="M22" s="3">
        <v>0</v>
      </c>
      <c r="N22" s="3"/>
      <c r="O22" s="3">
        <v>201925</v>
      </c>
      <c r="P22" s="3"/>
      <c r="Q22" s="3">
        <v>381230</v>
      </c>
      <c r="R22" s="3"/>
      <c r="S22" s="3">
        <v>23106</v>
      </c>
      <c r="T22" s="3"/>
      <c r="U22" s="3">
        <v>797886</v>
      </c>
      <c r="V22" s="3"/>
      <c r="W22" s="3">
        <v>262518</v>
      </c>
      <c r="X22" s="3"/>
      <c r="Y22" s="3">
        <v>0</v>
      </c>
      <c r="Z22" s="3"/>
      <c r="AA22" s="3">
        <v>858413</v>
      </c>
      <c r="AC22" s="3">
        <v>0</v>
      </c>
      <c r="AD22" s="3" t="s">
        <v>338</v>
      </c>
      <c r="AF22" s="16" t="s">
        <v>165</v>
      </c>
      <c r="AG22" s="3"/>
      <c r="AH22" s="3">
        <v>140232</v>
      </c>
      <c r="AI22" s="3"/>
      <c r="AJ22" s="3">
        <v>0</v>
      </c>
      <c r="AK22" s="3"/>
      <c r="AL22" s="3">
        <v>0</v>
      </c>
      <c r="AM22" s="3"/>
      <c r="AN22" s="3">
        <v>190</v>
      </c>
      <c r="AO22" s="3"/>
      <c r="AP22" s="3">
        <v>26099</v>
      </c>
      <c r="AQ22" s="3"/>
      <c r="AR22" s="3">
        <v>0</v>
      </c>
      <c r="AS22" s="3"/>
      <c r="AT22" s="3">
        <v>0</v>
      </c>
      <c r="AU22" s="3"/>
      <c r="AV22" s="3">
        <v>0</v>
      </c>
      <c r="AW22" s="3"/>
      <c r="AX22" s="3">
        <v>0</v>
      </c>
      <c r="AY22" s="3"/>
      <c r="AZ22" s="3">
        <f t="shared" si="2"/>
        <v>5319902</v>
      </c>
      <c r="BA22" s="3"/>
      <c r="BB22" s="3">
        <v>545700</v>
      </c>
      <c r="BC22" s="3"/>
      <c r="BD22" s="3">
        <v>0</v>
      </c>
      <c r="BE22" s="3" t="s">
        <v>338</v>
      </c>
      <c r="BG22" s="16" t="s">
        <v>165</v>
      </c>
      <c r="BH22" s="3"/>
      <c r="BI22" s="3"/>
      <c r="BJ22" s="3"/>
      <c r="BK22" s="3"/>
      <c r="BL22" s="3"/>
      <c r="BM22" s="3">
        <f t="shared" si="0"/>
        <v>5865602</v>
      </c>
      <c r="BN22" s="3"/>
      <c r="BO22" s="3">
        <f>GenRev!AS22-BM22</f>
        <v>404078</v>
      </c>
      <c r="BP22" s="3"/>
      <c r="BQ22" s="3">
        <v>2639190</v>
      </c>
      <c r="BR22" s="3"/>
      <c r="BS22" s="3">
        <v>0</v>
      </c>
      <c r="BT22" s="3"/>
      <c r="BU22" s="3">
        <f t="shared" si="1"/>
        <v>3043268</v>
      </c>
      <c r="BV22" s="3"/>
      <c r="BW22" s="17">
        <f>+BU22-GenBS!AC22</f>
        <v>0</v>
      </c>
    </row>
    <row r="23" spans="1:75" s="16" customFormat="1" ht="12">
      <c r="A23" s="3" t="s">
        <v>291</v>
      </c>
      <c r="B23" s="3"/>
      <c r="C23" s="3" t="s">
        <v>240</v>
      </c>
      <c r="D23" s="3"/>
      <c r="E23" s="3">
        <v>65227</v>
      </c>
      <c r="F23" s="3"/>
      <c r="G23" s="3">
        <v>535388</v>
      </c>
      <c r="H23" s="3"/>
      <c r="I23" s="3">
        <v>0</v>
      </c>
      <c r="J23" s="3"/>
      <c r="K23" s="3">
        <v>1436484</v>
      </c>
      <c r="L23" s="3"/>
      <c r="M23" s="3">
        <v>0</v>
      </c>
      <c r="N23" s="3"/>
      <c r="O23" s="3">
        <v>176556</v>
      </c>
      <c r="P23" s="3"/>
      <c r="Q23" s="3">
        <v>230082</v>
      </c>
      <c r="R23" s="3"/>
      <c r="S23" s="3">
        <v>43984</v>
      </c>
      <c r="T23" s="3"/>
      <c r="U23" s="3">
        <v>226373</v>
      </c>
      <c r="V23" s="3"/>
      <c r="W23" s="3">
        <v>149684</v>
      </c>
      <c r="X23" s="3"/>
      <c r="Y23" s="3">
        <v>45005</v>
      </c>
      <c r="Z23" s="3"/>
      <c r="AA23" s="3">
        <v>454859</v>
      </c>
      <c r="AC23" s="3">
        <v>2796</v>
      </c>
      <c r="AD23" s="3" t="s">
        <v>291</v>
      </c>
      <c r="AF23" s="16" t="s">
        <v>240</v>
      </c>
      <c r="AG23" s="3"/>
      <c r="AH23" s="3">
        <v>7974</v>
      </c>
      <c r="AI23" s="3"/>
      <c r="AJ23" s="3">
        <v>0</v>
      </c>
      <c r="AK23" s="3"/>
      <c r="AL23" s="3">
        <v>0</v>
      </c>
      <c r="AM23" s="3"/>
      <c r="AN23" s="3">
        <v>0</v>
      </c>
      <c r="AO23" s="3"/>
      <c r="AP23" s="3">
        <v>17175</v>
      </c>
      <c r="AQ23" s="3"/>
      <c r="AR23" s="3">
        <v>33790</v>
      </c>
      <c r="AS23" s="3"/>
      <c r="AT23" s="3">
        <v>0</v>
      </c>
      <c r="AU23" s="3"/>
      <c r="AV23" s="3">
        <v>7679</v>
      </c>
      <c r="AW23" s="3"/>
      <c r="AX23" s="3">
        <v>2321</v>
      </c>
      <c r="AY23" s="3"/>
      <c r="AZ23" s="3">
        <f t="shared" si="2"/>
        <v>3370150</v>
      </c>
      <c r="BA23" s="3"/>
      <c r="BB23" s="3">
        <v>1900</v>
      </c>
      <c r="BC23" s="3"/>
      <c r="BD23" s="3">
        <v>0</v>
      </c>
      <c r="BE23" s="3" t="s">
        <v>291</v>
      </c>
      <c r="BG23" s="16" t="s">
        <v>240</v>
      </c>
      <c r="BH23" s="3"/>
      <c r="BI23" s="3"/>
      <c r="BJ23" s="3"/>
      <c r="BK23" s="3"/>
      <c r="BL23" s="3"/>
      <c r="BM23" s="3">
        <f t="shared" si="0"/>
        <v>3372050</v>
      </c>
      <c r="BN23" s="3"/>
      <c r="BO23" s="3">
        <f>GenRev!AS23-BM23</f>
        <v>293446</v>
      </c>
      <c r="BP23" s="3"/>
      <c r="BQ23" s="3">
        <v>-11080</v>
      </c>
      <c r="BR23" s="3"/>
      <c r="BS23" s="3">
        <v>0</v>
      </c>
      <c r="BT23" s="3"/>
      <c r="BU23" s="3">
        <f t="shared" si="1"/>
        <v>282366</v>
      </c>
      <c r="BV23" s="3"/>
      <c r="BW23" s="17">
        <f>+BU23-GenBS!AC23</f>
        <v>0</v>
      </c>
    </row>
    <row r="24" spans="1:75" s="16" customFormat="1" ht="12">
      <c r="A24" s="3" t="s">
        <v>342</v>
      </c>
      <c r="B24" s="3"/>
      <c r="C24" s="3" t="s">
        <v>187</v>
      </c>
      <c r="D24" s="3"/>
      <c r="E24" s="3">
        <v>51201</v>
      </c>
      <c r="F24" s="3"/>
      <c r="G24" s="3">
        <v>104745</v>
      </c>
      <c r="H24" s="3"/>
      <c r="I24" s="3">
        <v>511748</v>
      </c>
      <c r="J24" s="3"/>
      <c r="K24" s="3">
        <v>6639455</v>
      </c>
      <c r="L24" s="3"/>
      <c r="M24" s="3">
        <v>1072</v>
      </c>
      <c r="N24" s="3"/>
      <c r="O24" s="3">
        <v>427294</v>
      </c>
      <c r="P24" s="3"/>
      <c r="Q24" s="3">
        <v>700218</v>
      </c>
      <c r="R24" s="3"/>
      <c r="S24" s="3">
        <v>27322</v>
      </c>
      <c r="T24" s="3"/>
      <c r="U24" s="3">
        <v>1009090</v>
      </c>
      <c r="V24" s="3"/>
      <c r="W24" s="3">
        <v>319357</v>
      </c>
      <c r="X24" s="3"/>
      <c r="Y24" s="3">
        <v>415773</v>
      </c>
      <c r="Z24" s="3"/>
      <c r="AA24" s="3">
        <v>1577505</v>
      </c>
      <c r="AC24" s="3">
        <v>16658</v>
      </c>
      <c r="AD24" s="3" t="s">
        <v>342</v>
      </c>
      <c r="AF24" s="16" t="s">
        <v>187</v>
      </c>
      <c r="AG24" s="3"/>
      <c r="AH24" s="3">
        <v>857467</v>
      </c>
      <c r="AI24" s="3"/>
      <c r="AJ24" s="3">
        <v>0</v>
      </c>
      <c r="AK24" s="3"/>
      <c r="AL24" s="3">
        <v>19609</v>
      </c>
      <c r="AM24" s="3"/>
      <c r="AN24" s="3">
        <v>0</v>
      </c>
      <c r="AO24" s="3"/>
      <c r="AP24" s="3">
        <v>65108</v>
      </c>
      <c r="AQ24" s="3"/>
      <c r="AR24" s="3">
        <v>0</v>
      </c>
      <c r="AS24" s="3"/>
      <c r="AT24" s="3">
        <v>0</v>
      </c>
      <c r="AU24" s="3"/>
      <c r="AV24" s="3">
        <v>34279</v>
      </c>
      <c r="AW24" s="3"/>
      <c r="AX24" s="3">
        <v>440</v>
      </c>
      <c r="AY24" s="3"/>
      <c r="AZ24" s="3">
        <f t="shared" si="2"/>
        <v>12727140</v>
      </c>
      <c r="BA24" s="3"/>
      <c r="BB24" s="3">
        <v>6980</v>
      </c>
      <c r="BC24" s="3"/>
      <c r="BD24" s="3">
        <v>0</v>
      </c>
      <c r="BE24" s="3" t="s">
        <v>342</v>
      </c>
      <c r="BG24" s="16" t="s">
        <v>187</v>
      </c>
      <c r="BH24" s="3"/>
      <c r="BI24" s="3"/>
      <c r="BJ24" s="3"/>
      <c r="BK24" s="3"/>
      <c r="BL24" s="3"/>
      <c r="BM24" s="3">
        <f t="shared" si="0"/>
        <v>12734120</v>
      </c>
      <c r="BN24" s="3"/>
      <c r="BO24" s="3">
        <f>GenRev!AS24-BM24</f>
        <v>358697</v>
      </c>
      <c r="BP24" s="3"/>
      <c r="BQ24" s="3">
        <v>655787</v>
      </c>
      <c r="BR24" s="3"/>
      <c r="BS24" s="3">
        <v>0</v>
      </c>
      <c r="BT24" s="3"/>
      <c r="BU24" s="3">
        <f t="shared" si="1"/>
        <v>1014484</v>
      </c>
      <c r="BV24" s="3"/>
      <c r="BW24" s="17">
        <f>+BU24-GenBS!AC24</f>
        <v>0</v>
      </c>
    </row>
    <row r="25" spans="1:75" s="16" customFormat="1" ht="12">
      <c r="A25" s="3" t="s">
        <v>288</v>
      </c>
      <c r="B25" s="3"/>
      <c r="C25" s="3" t="s">
        <v>167</v>
      </c>
      <c r="D25" s="3"/>
      <c r="E25" s="3">
        <v>50922</v>
      </c>
      <c r="F25" s="3"/>
      <c r="G25" s="3">
        <v>714324</v>
      </c>
      <c r="H25" s="3"/>
      <c r="I25" s="3">
        <v>233594</v>
      </c>
      <c r="J25" s="3"/>
      <c r="K25" s="3">
        <v>4516045</v>
      </c>
      <c r="L25" s="3"/>
      <c r="M25" s="3">
        <v>0</v>
      </c>
      <c r="N25" s="3"/>
      <c r="O25" s="3">
        <v>640812</v>
      </c>
      <c r="P25" s="3"/>
      <c r="Q25" s="3">
        <v>1397236</v>
      </c>
      <c r="R25" s="3"/>
      <c r="S25" s="3">
        <v>29798</v>
      </c>
      <c r="T25" s="3"/>
      <c r="U25" s="3">
        <v>1714148</v>
      </c>
      <c r="V25" s="3"/>
      <c r="W25" s="3">
        <v>902444</v>
      </c>
      <c r="X25" s="3"/>
      <c r="Y25" s="3">
        <v>746532</v>
      </c>
      <c r="Z25" s="3"/>
      <c r="AA25" s="3">
        <v>1426907</v>
      </c>
      <c r="AC25" s="3">
        <v>20222</v>
      </c>
      <c r="AD25" s="3" t="s">
        <v>288</v>
      </c>
      <c r="AF25" s="16" t="s">
        <v>167</v>
      </c>
      <c r="AG25" s="3"/>
      <c r="AH25" s="3">
        <v>156949</v>
      </c>
      <c r="AI25" s="3"/>
      <c r="AJ25" s="3">
        <v>0</v>
      </c>
      <c r="AK25" s="3"/>
      <c r="AL25" s="3">
        <v>0</v>
      </c>
      <c r="AM25" s="3"/>
      <c r="AN25" s="3">
        <v>3761</v>
      </c>
      <c r="AO25" s="3"/>
      <c r="AP25" s="3">
        <v>50000</v>
      </c>
      <c r="AQ25" s="3"/>
      <c r="AR25" s="3">
        <v>178007</v>
      </c>
      <c r="AS25" s="3"/>
      <c r="AT25" s="3">
        <f>293992+1909904</f>
        <v>2203896</v>
      </c>
      <c r="AU25" s="3"/>
      <c r="AV25" s="3">
        <v>0</v>
      </c>
      <c r="AW25" s="3"/>
      <c r="AX25" s="3">
        <v>0</v>
      </c>
      <c r="AY25" s="3"/>
      <c r="AZ25" s="3">
        <f t="shared" si="2"/>
        <v>14934675</v>
      </c>
      <c r="BA25" s="3"/>
      <c r="BB25" s="3">
        <v>300000</v>
      </c>
      <c r="BC25" s="3"/>
      <c r="BD25" s="3">
        <v>0</v>
      </c>
      <c r="BE25" s="3" t="s">
        <v>288</v>
      </c>
      <c r="BG25" s="16" t="s">
        <v>167</v>
      </c>
      <c r="BH25" s="3"/>
      <c r="BI25" s="3"/>
      <c r="BJ25" s="3"/>
      <c r="BK25" s="3"/>
      <c r="BL25" s="3"/>
      <c r="BM25" s="3">
        <f t="shared" si="0"/>
        <v>15234675</v>
      </c>
      <c r="BN25" s="3"/>
      <c r="BO25" s="3">
        <f>GenRev!AS25-BM25</f>
        <v>196854</v>
      </c>
      <c r="BP25" s="3"/>
      <c r="BQ25" s="3">
        <v>13210657</v>
      </c>
      <c r="BR25" s="3"/>
      <c r="BS25" s="3">
        <v>-312</v>
      </c>
      <c r="BT25" s="3"/>
      <c r="BU25" s="3">
        <f t="shared" si="1"/>
        <v>13407823</v>
      </c>
      <c r="BV25" s="3"/>
      <c r="BW25" s="17">
        <f>+BU25-GenBS!AC25</f>
        <v>0</v>
      </c>
    </row>
    <row r="26" spans="1:75" s="16" customFormat="1" ht="12">
      <c r="A26" s="3" t="s">
        <v>287</v>
      </c>
      <c r="B26" s="3"/>
      <c r="C26" s="3" t="s">
        <v>171</v>
      </c>
      <c r="D26" s="3"/>
      <c r="E26" s="3">
        <v>50989</v>
      </c>
      <c r="F26" s="3"/>
      <c r="G26" s="3">
        <v>1043033</v>
      </c>
      <c r="H26" s="3"/>
      <c r="I26" s="3">
        <v>101978</v>
      </c>
      <c r="J26" s="3"/>
      <c r="K26" s="3">
        <v>4710464</v>
      </c>
      <c r="L26" s="3"/>
      <c r="M26" s="3">
        <f>23186+53718</f>
        <v>76904</v>
      </c>
      <c r="N26" s="3"/>
      <c r="O26" s="3">
        <v>664713</v>
      </c>
      <c r="P26" s="3"/>
      <c r="Q26" s="3">
        <v>352378</v>
      </c>
      <c r="R26" s="3"/>
      <c r="S26" s="3">
        <v>140149</v>
      </c>
      <c r="T26" s="3"/>
      <c r="U26" s="3">
        <v>1343619</v>
      </c>
      <c r="V26" s="3"/>
      <c r="W26" s="3">
        <v>681828</v>
      </c>
      <c r="X26" s="3"/>
      <c r="Y26" s="3">
        <v>0</v>
      </c>
      <c r="Z26" s="3"/>
      <c r="AA26" s="3">
        <v>1373987</v>
      </c>
      <c r="AC26" s="3">
        <v>23321</v>
      </c>
      <c r="AD26" s="3" t="s">
        <v>287</v>
      </c>
      <c r="AF26" s="16" t="s">
        <v>171</v>
      </c>
      <c r="AG26" s="3"/>
      <c r="AH26" s="3">
        <v>932273</v>
      </c>
      <c r="AI26" s="3"/>
      <c r="AJ26" s="3">
        <v>0</v>
      </c>
      <c r="AK26" s="3"/>
      <c r="AL26" s="3">
        <v>0</v>
      </c>
      <c r="AM26" s="3"/>
      <c r="AN26" s="3">
        <v>2194</v>
      </c>
      <c r="AO26" s="3"/>
      <c r="AP26" s="3">
        <v>17955</v>
      </c>
      <c r="AQ26" s="3"/>
      <c r="AR26" s="3">
        <v>3975</v>
      </c>
      <c r="AS26" s="3"/>
      <c r="AT26" s="3">
        <v>0</v>
      </c>
      <c r="AU26" s="3"/>
      <c r="AV26" s="3">
        <v>0</v>
      </c>
      <c r="AW26" s="3"/>
      <c r="AX26" s="3">
        <v>0</v>
      </c>
      <c r="AY26" s="3"/>
      <c r="AZ26" s="3">
        <f t="shared" si="2"/>
        <v>11468771</v>
      </c>
      <c r="BA26" s="3"/>
      <c r="BB26" s="3">
        <v>756119</v>
      </c>
      <c r="BC26" s="3"/>
      <c r="BD26" s="3">
        <v>0</v>
      </c>
      <c r="BE26" s="3" t="s">
        <v>287</v>
      </c>
      <c r="BG26" s="16" t="s">
        <v>171</v>
      </c>
      <c r="BH26" s="3"/>
      <c r="BI26" s="3"/>
      <c r="BJ26" s="3"/>
      <c r="BK26" s="3"/>
      <c r="BL26" s="3"/>
      <c r="BM26" s="3">
        <f t="shared" si="0"/>
        <v>12224890</v>
      </c>
      <c r="BN26" s="3"/>
      <c r="BO26" s="3">
        <f>GenRev!AS26-BM26</f>
        <v>2693306</v>
      </c>
      <c r="BP26" s="3"/>
      <c r="BQ26" s="3">
        <v>13053497</v>
      </c>
      <c r="BR26" s="3"/>
      <c r="BS26" s="3">
        <v>0</v>
      </c>
      <c r="BT26" s="3"/>
      <c r="BU26" s="3">
        <f t="shared" si="1"/>
        <v>15746803</v>
      </c>
      <c r="BV26" s="3"/>
      <c r="BW26" s="17">
        <f>+BU26-GenBS!AC26</f>
        <v>0</v>
      </c>
    </row>
    <row r="27" spans="1:75" s="16" customFormat="1" ht="12">
      <c r="A27" s="3" t="s">
        <v>289</v>
      </c>
      <c r="B27" s="3"/>
      <c r="C27" s="3" t="s">
        <v>175</v>
      </c>
      <c r="D27" s="3"/>
      <c r="E27" s="3">
        <v>51003</v>
      </c>
      <c r="F27" s="3"/>
      <c r="G27" s="3">
        <v>3593503</v>
      </c>
      <c r="H27" s="3"/>
      <c r="I27" s="3">
        <v>1281426</v>
      </c>
      <c r="J27" s="3"/>
      <c r="K27" s="3">
        <v>7225869</v>
      </c>
      <c r="L27" s="3"/>
      <c r="M27" s="3">
        <v>326172</v>
      </c>
      <c r="N27" s="3"/>
      <c r="O27" s="3">
        <v>635563</v>
      </c>
      <c r="P27" s="3"/>
      <c r="Q27" s="3">
        <v>334274</v>
      </c>
      <c r="R27" s="3"/>
      <c r="S27" s="3">
        <v>32488</v>
      </c>
      <c r="T27" s="3"/>
      <c r="U27" s="3">
        <v>2513872</v>
      </c>
      <c r="V27" s="3"/>
      <c r="W27" s="3">
        <v>785149</v>
      </c>
      <c r="X27" s="3"/>
      <c r="Y27" s="3">
        <v>29208</v>
      </c>
      <c r="Z27" s="3"/>
      <c r="AA27" s="3">
        <v>1193111</v>
      </c>
      <c r="AC27" s="3">
        <v>47459</v>
      </c>
      <c r="AD27" s="3" t="s">
        <v>289</v>
      </c>
      <c r="AF27" s="16" t="s">
        <v>175</v>
      </c>
      <c r="AG27" s="3"/>
      <c r="AH27" s="3">
        <v>372177</v>
      </c>
      <c r="AI27" s="3"/>
      <c r="AJ27" s="3">
        <v>0</v>
      </c>
      <c r="AK27" s="3"/>
      <c r="AL27" s="3">
        <v>0</v>
      </c>
      <c r="AM27" s="3"/>
      <c r="AN27" s="3">
        <v>0</v>
      </c>
      <c r="AO27" s="3"/>
      <c r="AP27" s="3">
        <v>37640</v>
      </c>
      <c r="AQ27" s="3"/>
      <c r="AR27" s="3">
        <v>5480243</v>
      </c>
      <c r="AS27" s="3"/>
      <c r="AT27" s="3">
        <v>0</v>
      </c>
      <c r="AU27" s="3"/>
      <c r="AV27" s="3">
        <v>18008</v>
      </c>
      <c r="AW27" s="3"/>
      <c r="AX27" s="3">
        <v>33</v>
      </c>
      <c r="AY27" s="3"/>
      <c r="AZ27" s="3">
        <f t="shared" si="2"/>
        <v>23906195</v>
      </c>
      <c r="BA27" s="3"/>
      <c r="BB27" s="3">
        <v>502563</v>
      </c>
      <c r="BC27" s="3"/>
      <c r="BD27" s="3">
        <v>0</v>
      </c>
      <c r="BE27" s="3" t="s">
        <v>289</v>
      </c>
      <c r="BG27" s="16" t="s">
        <v>175</v>
      </c>
      <c r="BH27" s="3"/>
      <c r="BI27" s="3"/>
      <c r="BJ27" s="3"/>
      <c r="BK27" s="3"/>
      <c r="BL27" s="3"/>
      <c r="BM27" s="3">
        <f t="shared" si="0"/>
        <v>24408758</v>
      </c>
      <c r="BN27" s="3"/>
      <c r="BO27" s="3">
        <f>GenRev!AS27-BM27</f>
        <v>-3619929</v>
      </c>
      <c r="BP27" s="3"/>
      <c r="BQ27" s="3">
        <v>23178467</v>
      </c>
      <c r="BR27" s="3"/>
      <c r="BS27" s="3">
        <v>0</v>
      </c>
      <c r="BT27" s="3"/>
      <c r="BU27" s="3">
        <f t="shared" si="1"/>
        <v>19558538</v>
      </c>
      <c r="BV27" s="3"/>
      <c r="BW27" s="17">
        <f>+BU27-GenBS!AC27</f>
        <v>0</v>
      </c>
    </row>
    <row r="28" spans="1:75" s="16" customFormat="1" ht="12">
      <c r="A28" s="3" t="s">
        <v>290</v>
      </c>
      <c r="B28" s="3"/>
      <c r="C28" s="3" t="s">
        <v>172</v>
      </c>
      <c r="D28" s="3"/>
      <c r="E28" s="3">
        <v>51029</v>
      </c>
      <c r="F28" s="3"/>
      <c r="G28" s="3">
        <v>866396</v>
      </c>
      <c r="H28" s="3"/>
      <c r="I28" s="3">
        <v>448710</v>
      </c>
      <c r="J28" s="3"/>
      <c r="K28" s="3">
        <v>5142629</v>
      </c>
      <c r="L28" s="3"/>
      <c r="M28" s="3">
        <v>0</v>
      </c>
      <c r="N28" s="3"/>
      <c r="O28" s="3">
        <v>603073</v>
      </c>
      <c r="P28" s="3"/>
      <c r="Q28" s="3">
        <v>281783</v>
      </c>
      <c r="R28" s="3"/>
      <c r="S28" s="3">
        <v>59955</v>
      </c>
      <c r="T28" s="3"/>
      <c r="U28" s="3">
        <v>1458554</v>
      </c>
      <c r="V28" s="3"/>
      <c r="W28" s="3">
        <v>486251</v>
      </c>
      <c r="X28" s="3"/>
      <c r="Y28" s="3">
        <v>236830</v>
      </c>
      <c r="Z28" s="3"/>
      <c r="AA28" s="3">
        <v>1532483</v>
      </c>
      <c r="AC28" s="3">
        <v>15895</v>
      </c>
      <c r="AD28" s="3" t="s">
        <v>290</v>
      </c>
      <c r="AF28" s="16" t="s">
        <v>172</v>
      </c>
      <c r="AG28" s="3"/>
      <c r="AH28" s="3">
        <v>430202</v>
      </c>
      <c r="AI28" s="3"/>
      <c r="AJ28" s="3">
        <v>0</v>
      </c>
      <c r="AK28" s="3"/>
      <c r="AL28" s="3">
        <v>0</v>
      </c>
      <c r="AM28" s="3"/>
      <c r="AN28" s="3">
        <v>0</v>
      </c>
      <c r="AO28" s="3"/>
      <c r="AP28" s="3">
        <v>0</v>
      </c>
      <c r="AQ28" s="3"/>
      <c r="AR28" s="3">
        <v>200696</v>
      </c>
      <c r="AS28" s="3"/>
      <c r="AT28" s="3">
        <v>0</v>
      </c>
      <c r="AU28" s="3"/>
      <c r="AV28" s="3">
        <v>110000</v>
      </c>
      <c r="AW28" s="3"/>
      <c r="AX28" s="3">
        <v>68626</v>
      </c>
      <c r="AY28" s="3"/>
      <c r="AZ28" s="3">
        <f t="shared" si="2"/>
        <v>11942083</v>
      </c>
      <c r="BA28" s="3"/>
      <c r="BB28" s="3">
        <v>161000</v>
      </c>
      <c r="BC28" s="3"/>
      <c r="BD28" s="3">
        <v>0</v>
      </c>
      <c r="BE28" s="3" t="s">
        <v>290</v>
      </c>
      <c r="BG28" s="16" t="s">
        <v>172</v>
      </c>
      <c r="BH28" s="3"/>
      <c r="BI28" s="3"/>
      <c r="BJ28" s="3"/>
      <c r="BK28" s="3"/>
      <c r="BL28" s="3"/>
      <c r="BM28" s="3">
        <f t="shared" si="0"/>
        <v>12103083</v>
      </c>
      <c r="BN28" s="3"/>
      <c r="BO28" s="3">
        <f>GenRev!AS28-BM28</f>
        <v>-99995</v>
      </c>
      <c r="BP28" s="3"/>
      <c r="BQ28" s="3">
        <v>5272935</v>
      </c>
      <c r="BR28" s="3"/>
      <c r="BS28" s="3">
        <v>21</v>
      </c>
      <c r="BT28" s="3"/>
      <c r="BU28" s="3">
        <f t="shared" si="1"/>
        <v>5172919</v>
      </c>
      <c r="BV28" s="3"/>
      <c r="BW28" s="17">
        <f>+BU28-GenBS!AC28</f>
        <v>0</v>
      </c>
    </row>
    <row r="29" spans="1:75" s="16" customFormat="1" ht="12">
      <c r="A29" s="3" t="s">
        <v>292</v>
      </c>
      <c r="B29" s="3"/>
      <c r="C29" s="3" t="s">
        <v>242</v>
      </c>
      <c r="D29" s="3"/>
      <c r="E29" s="3">
        <v>50963</v>
      </c>
      <c r="F29" s="3"/>
      <c r="G29" s="3">
        <v>37777</v>
      </c>
      <c r="H29" s="3"/>
      <c r="I29" s="3">
        <v>0</v>
      </c>
      <c r="J29" s="3"/>
      <c r="K29" s="3">
        <v>8587836</v>
      </c>
      <c r="L29" s="3"/>
      <c r="M29" s="3">
        <v>235219</v>
      </c>
      <c r="N29" s="3"/>
      <c r="O29" s="3">
        <v>1316052</v>
      </c>
      <c r="P29" s="3"/>
      <c r="Q29" s="3">
        <v>454619</v>
      </c>
      <c r="R29" s="3"/>
      <c r="S29" s="3">
        <v>50528</v>
      </c>
      <c r="T29" s="3"/>
      <c r="U29" s="3">
        <v>1428473</v>
      </c>
      <c r="V29" s="3"/>
      <c r="W29" s="3">
        <v>453573</v>
      </c>
      <c r="X29" s="3"/>
      <c r="Y29" s="3">
        <v>63104</v>
      </c>
      <c r="Z29" s="3"/>
      <c r="AA29" s="3">
        <v>1300793</v>
      </c>
      <c r="AC29" s="3">
        <v>17899</v>
      </c>
      <c r="AD29" s="3" t="s">
        <v>292</v>
      </c>
      <c r="AF29" s="16" t="s">
        <v>242</v>
      </c>
      <c r="AG29" s="3"/>
      <c r="AH29" s="3">
        <v>311906</v>
      </c>
      <c r="AI29" s="3"/>
      <c r="AJ29" s="3">
        <v>0</v>
      </c>
      <c r="AK29" s="3"/>
      <c r="AL29" s="3">
        <v>0</v>
      </c>
      <c r="AM29" s="3"/>
      <c r="AN29" s="3">
        <v>0</v>
      </c>
      <c r="AO29" s="3"/>
      <c r="AP29" s="3">
        <v>61681</v>
      </c>
      <c r="AQ29" s="3"/>
      <c r="AR29" s="3">
        <v>0</v>
      </c>
      <c r="AS29" s="3"/>
      <c r="AT29" s="3">
        <v>0</v>
      </c>
      <c r="AU29" s="3"/>
      <c r="AV29" s="3">
        <v>0</v>
      </c>
      <c r="AW29" s="3"/>
      <c r="AX29" s="3">
        <v>0</v>
      </c>
      <c r="AY29" s="3"/>
      <c r="AZ29" s="3">
        <f t="shared" si="2"/>
        <v>14319460</v>
      </c>
      <c r="BA29" s="3"/>
      <c r="BB29" s="3">
        <v>2925000</v>
      </c>
      <c r="BC29" s="3"/>
      <c r="BD29" s="3">
        <v>0</v>
      </c>
      <c r="BE29" s="3" t="s">
        <v>292</v>
      </c>
      <c r="BG29" s="16" t="s">
        <v>242</v>
      </c>
      <c r="BH29" s="3"/>
      <c r="BI29" s="3"/>
      <c r="BJ29" s="3"/>
      <c r="BK29" s="3"/>
      <c r="BL29" s="3"/>
      <c r="BM29" s="3">
        <f t="shared" si="0"/>
        <v>17244460</v>
      </c>
      <c r="BN29" s="3"/>
      <c r="BO29" s="3">
        <f>GenRev!AS29-BM29</f>
        <v>-2598437</v>
      </c>
      <c r="BP29" s="3"/>
      <c r="BQ29" s="3">
        <v>11488590</v>
      </c>
      <c r="BR29" s="3"/>
      <c r="BS29" s="3">
        <v>0</v>
      </c>
      <c r="BT29" s="3"/>
      <c r="BU29" s="3">
        <f t="shared" si="1"/>
        <v>8890153</v>
      </c>
      <c r="BV29" s="3"/>
      <c r="BW29" s="17">
        <f>+BU29-GenBS!AC29</f>
        <v>0</v>
      </c>
    </row>
    <row r="30" spans="1:75" s="16" customFormat="1" ht="12">
      <c r="A30" s="3" t="s">
        <v>241</v>
      </c>
      <c r="B30" s="3"/>
      <c r="C30" s="3" t="s">
        <v>178</v>
      </c>
      <c r="D30" s="3"/>
      <c r="E30" s="3">
        <v>62067</v>
      </c>
      <c r="F30" s="3"/>
      <c r="G30" s="3">
        <v>126682</v>
      </c>
      <c r="H30" s="3"/>
      <c r="I30" s="3">
        <v>0</v>
      </c>
      <c r="J30" s="3"/>
      <c r="K30" s="3">
        <v>4467646</v>
      </c>
      <c r="L30" s="3"/>
      <c r="M30" s="3">
        <v>0</v>
      </c>
      <c r="N30" s="3"/>
      <c r="O30" s="3">
        <v>387408</v>
      </c>
      <c r="P30" s="3"/>
      <c r="Q30" s="3">
        <v>330943</v>
      </c>
      <c r="R30" s="3"/>
      <c r="S30" s="3">
        <v>95008</v>
      </c>
      <c r="T30" s="3"/>
      <c r="U30" s="3">
        <v>451012</v>
      </c>
      <c r="V30" s="3"/>
      <c r="W30" s="3">
        <v>347228</v>
      </c>
      <c r="X30" s="3"/>
      <c r="Y30" s="3">
        <v>56944</v>
      </c>
      <c r="Z30" s="3"/>
      <c r="AA30" s="3">
        <v>1013087</v>
      </c>
      <c r="AC30" s="3">
        <v>15465</v>
      </c>
      <c r="AD30" s="3" t="s">
        <v>241</v>
      </c>
      <c r="AF30" s="16" t="s">
        <v>178</v>
      </c>
      <c r="AG30" s="3"/>
      <c r="AH30" s="3">
        <v>247727</v>
      </c>
      <c r="AI30" s="3"/>
      <c r="AJ30" s="3">
        <v>0</v>
      </c>
      <c r="AK30" s="3"/>
      <c r="AL30" s="3">
        <v>0</v>
      </c>
      <c r="AM30" s="3"/>
      <c r="AN30" s="3">
        <v>0</v>
      </c>
      <c r="AO30" s="3"/>
      <c r="AP30" s="3">
        <v>18750</v>
      </c>
      <c r="AQ30" s="3"/>
      <c r="AR30" s="3">
        <v>0</v>
      </c>
      <c r="AS30" s="3"/>
      <c r="AT30" s="3">
        <v>0</v>
      </c>
      <c r="AU30" s="3"/>
      <c r="AV30" s="3">
        <v>204000</v>
      </c>
      <c r="AW30" s="3"/>
      <c r="AX30" s="3">
        <v>66259</v>
      </c>
      <c r="AY30" s="3"/>
      <c r="AZ30" s="3">
        <f t="shared" si="2"/>
        <v>7828159</v>
      </c>
      <c r="BA30" s="3"/>
      <c r="BB30" s="3">
        <v>193558</v>
      </c>
      <c r="BC30" s="3"/>
      <c r="BD30" s="3">
        <v>0</v>
      </c>
      <c r="BE30" s="3" t="s">
        <v>241</v>
      </c>
      <c r="BG30" s="16" t="s">
        <v>178</v>
      </c>
      <c r="BH30" s="3"/>
      <c r="BI30" s="3"/>
      <c r="BJ30" s="3"/>
      <c r="BK30" s="3"/>
      <c r="BL30" s="3"/>
      <c r="BM30" s="3">
        <f t="shared" si="0"/>
        <v>8021717</v>
      </c>
      <c r="BN30" s="3"/>
      <c r="BO30" s="3">
        <f>GenRev!AS30-BM30</f>
        <v>-244933</v>
      </c>
      <c r="BP30" s="3"/>
      <c r="BQ30" s="3">
        <v>1753166</v>
      </c>
      <c r="BR30" s="3"/>
      <c r="BS30" s="3">
        <v>0</v>
      </c>
      <c r="BT30" s="3"/>
      <c r="BU30" s="3">
        <f t="shared" si="1"/>
        <v>1508233</v>
      </c>
      <c r="BV30" s="3"/>
      <c r="BW30" s="17">
        <f>+BU30-GenBS!AC30</f>
        <v>0</v>
      </c>
    </row>
    <row r="31" spans="1:75" s="16" customFormat="1" ht="12">
      <c r="A31" s="3" t="s">
        <v>374</v>
      </c>
      <c r="B31" s="3"/>
      <c r="C31" s="3" t="s">
        <v>181</v>
      </c>
      <c r="D31" s="3"/>
      <c r="E31" s="3">
        <v>51060</v>
      </c>
      <c r="F31" s="3"/>
      <c r="G31" s="3">
        <v>76050</v>
      </c>
      <c r="H31" s="3"/>
      <c r="I31" s="3">
        <v>0</v>
      </c>
      <c r="J31" s="3"/>
      <c r="K31" s="3">
        <v>31014535</v>
      </c>
      <c r="L31" s="3"/>
      <c r="M31" s="3">
        <v>0</v>
      </c>
      <c r="N31" s="3"/>
      <c r="O31" s="3">
        <v>2125244</v>
      </c>
      <c r="P31" s="3"/>
      <c r="Q31" s="3">
        <v>4627380</v>
      </c>
      <c r="R31" s="3"/>
      <c r="S31" s="3">
        <v>454281</v>
      </c>
      <c r="T31" s="3"/>
      <c r="U31" s="3">
        <v>4291866</v>
      </c>
      <c r="V31" s="3"/>
      <c r="W31" s="3">
        <v>2604962</v>
      </c>
      <c r="X31" s="3"/>
      <c r="Y31" s="3">
        <v>488397</v>
      </c>
      <c r="Z31" s="3"/>
      <c r="AA31" s="3">
        <v>6997626</v>
      </c>
      <c r="AC31" s="3">
        <v>387459</v>
      </c>
      <c r="AD31" s="3" t="s">
        <v>374</v>
      </c>
      <c r="AF31" s="16" t="s">
        <v>181</v>
      </c>
      <c r="AG31" s="3"/>
      <c r="AH31" s="3">
        <v>1788988</v>
      </c>
      <c r="AI31" s="3"/>
      <c r="AJ31" s="3">
        <v>0</v>
      </c>
      <c r="AK31" s="3"/>
      <c r="AL31" s="3">
        <v>0</v>
      </c>
      <c r="AM31" s="3"/>
      <c r="AN31" s="3">
        <v>26102</v>
      </c>
      <c r="AO31" s="3"/>
      <c r="AP31" s="3">
        <v>0</v>
      </c>
      <c r="AQ31" s="3"/>
      <c r="AR31" s="3">
        <v>0</v>
      </c>
      <c r="AS31" s="3"/>
      <c r="AT31" s="3">
        <v>0</v>
      </c>
      <c r="AU31" s="3"/>
      <c r="AV31" s="3">
        <v>0</v>
      </c>
      <c r="AW31" s="3"/>
      <c r="AX31" s="3">
        <v>0</v>
      </c>
      <c r="AY31" s="3"/>
      <c r="AZ31" s="3">
        <f t="shared" si="2"/>
        <v>54882890</v>
      </c>
      <c r="BA31" s="3"/>
      <c r="BB31" s="3">
        <v>26576668</v>
      </c>
      <c r="BC31" s="3"/>
      <c r="BD31" s="3">
        <v>0</v>
      </c>
      <c r="BE31" s="3" t="s">
        <v>374</v>
      </c>
      <c r="BG31" s="16" t="s">
        <v>181</v>
      </c>
      <c r="BH31" s="3"/>
      <c r="BI31" s="3"/>
      <c r="BJ31" s="3"/>
      <c r="BK31" s="3"/>
      <c r="BL31" s="3"/>
      <c r="BM31" s="3">
        <f t="shared" si="0"/>
        <v>81459558</v>
      </c>
      <c r="BN31" s="3"/>
      <c r="BO31" s="3">
        <f>GenRev!AS31-BM31</f>
        <v>-18382155</v>
      </c>
      <c r="BP31" s="3"/>
      <c r="BQ31" s="3">
        <v>54632676</v>
      </c>
      <c r="BR31" s="3"/>
      <c r="BS31" s="3">
        <v>0</v>
      </c>
      <c r="BT31" s="3"/>
      <c r="BU31" s="3">
        <f t="shared" si="1"/>
        <v>36250521</v>
      </c>
      <c r="BV31" s="3"/>
      <c r="BW31" s="17">
        <f>+BU31-GenBS!AC31</f>
        <v>0</v>
      </c>
    </row>
    <row r="32" spans="1:75" s="16" customFormat="1" ht="12">
      <c r="A32" s="3" t="s">
        <v>375</v>
      </c>
      <c r="B32" s="3"/>
      <c r="C32" s="3" t="s">
        <v>180</v>
      </c>
      <c r="D32" s="3"/>
      <c r="E32" s="3">
        <v>51045</v>
      </c>
      <c r="F32" s="3"/>
      <c r="G32" s="3">
        <v>839596</v>
      </c>
      <c r="H32" s="3"/>
      <c r="I32" s="3">
        <v>0</v>
      </c>
      <c r="J32" s="3"/>
      <c r="K32" s="3">
        <v>6232543</v>
      </c>
      <c r="L32" s="3"/>
      <c r="M32" s="3">
        <v>0</v>
      </c>
      <c r="N32" s="3"/>
      <c r="O32" s="3">
        <v>714838</v>
      </c>
      <c r="P32" s="3"/>
      <c r="Q32" s="3">
        <v>1664098</v>
      </c>
      <c r="R32" s="3"/>
      <c r="S32" s="3">
        <v>164114</v>
      </c>
      <c r="T32" s="3"/>
      <c r="U32" s="3">
        <v>718677</v>
      </c>
      <c r="V32" s="3"/>
      <c r="W32" s="3">
        <v>490982</v>
      </c>
      <c r="X32" s="3"/>
      <c r="Y32" s="3">
        <v>0</v>
      </c>
      <c r="Z32" s="3"/>
      <c r="AA32" s="3">
        <v>1236804</v>
      </c>
      <c r="AC32" s="3">
        <v>0</v>
      </c>
      <c r="AD32" s="3" t="s">
        <v>375</v>
      </c>
      <c r="AF32" s="16" t="s">
        <v>180</v>
      </c>
      <c r="AG32" s="3"/>
      <c r="AH32" s="3">
        <v>215657</v>
      </c>
      <c r="AI32" s="3"/>
      <c r="AJ32" s="3">
        <v>0</v>
      </c>
      <c r="AK32" s="3"/>
      <c r="AL32" s="3">
        <v>0</v>
      </c>
      <c r="AM32" s="3"/>
      <c r="AN32" s="3">
        <v>9660</v>
      </c>
      <c r="AO32" s="3"/>
      <c r="AP32" s="3">
        <v>0</v>
      </c>
      <c r="AQ32" s="3"/>
      <c r="AR32" s="3">
        <v>0</v>
      </c>
      <c r="AS32" s="3"/>
      <c r="AT32" s="3">
        <v>0</v>
      </c>
      <c r="AU32" s="3"/>
      <c r="AV32" s="3">
        <v>4772</v>
      </c>
      <c r="AW32" s="3"/>
      <c r="AX32" s="3">
        <v>0</v>
      </c>
      <c r="AY32" s="3"/>
      <c r="AZ32" s="3">
        <f t="shared" si="2"/>
        <v>12291741</v>
      </c>
      <c r="BA32" s="3"/>
      <c r="BB32" s="3">
        <v>143410</v>
      </c>
      <c r="BC32" s="3"/>
      <c r="BD32" s="3">
        <v>0</v>
      </c>
      <c r="BE32" s="3" t="s">
        <v>375</v>
      </c>
      <c r="BG32" s="16" t="s">
        <v>180</v>
      </c>
      <c r="BH32" s="3"/>
      <c r="BI32" s="3"/>
      <c r="BJ32" s="3"/>
      <c r="BK32" s="3"/>
      <c r="BL32" s="3"/>
      <c r="BM32" s="3">
        <f t="shared" si="0"/>
        <v>12435151</v>
      </c>
      <c r="BN32" s="3"/>
      <c r="BO32" s="3">
        <f>GenRev!AS32-BM32</f>
        <v>441393</v>
      </c>
      <c r="BP32" s="3"/>
      <c r="BQ32" s="3">
        <v>2919775</v>
      </c>
      <c r="BR32" s="3"/>
      <c r="BS32" s="3">
        <v>0</v>
      </c>
      <c r="BT32" s="3"/>
      <c r="BU32" s="3">
        <f t="shared" si="1"/>
        <v>3361168</v>
      </c>
      <c r="BV32" s="3"/>
      <c r="BW32" s="17">
        <f>+BU32-GenBS!AC32</f>
        <v>0</v>
      </c>
    </row>
    <row r="33" spans="1:75" s="16" customFormat="1" ht="12">
      <c r="A33" s="3" t="s">
        <v>243</v>
      </c>
      <c r="B33" s="3"/>
      <c r="C33" s="3" t="s">
        <v>183</v>
      </c>
      <c r="D33" s="3"/>
      <c r="E33" s="3">
        <v>51128</v>
      </c>
      <c r="F33" s="3"/>
      <c r="G33" s="3">
        <v>355425</v>
      </c>
      <c r="H33" s="3"/>
      <c r="I33" s="3">
        <v>229720</v>
      </c>
      <c r="J33" s="3"/>
      <c r="K33" s="3">
        <v>2659121</v>
      </c>
      <c r="L33" s="3"/>
      <c r="M33" s="3">
        <v>3907</v>
      </c>
      <c r="N33" s="3"/>
      <c r="O33" s="3">
        <v>160999</v>
      </c>
      <c r="P33" s="3"/>
      <c r="Q33" s="3">
        <v>347142</v>
      </c>
      <c r="R33" s="3"/>
      <c r="S33" s="3">
        <v>39224</v>
      </c>
      <c r="T33" s="3"/>
      <c r="U33" s="3">
        <v>218050</v>
      </c>
      <c r="V33" s="3"/>
      <c r="W33" s="3">
        <v>291591</v>
      </c>
      <c r="X33" s="3"/>
      <c r="Y33" s="3">
        <v>0</v>
      </c>
      <c r="Z33" s="3"/>
      <c r="AA33" s="3">
        <v>618005</v>
      </c>
      <c r="AC33" s="3">
        <v>0</v>
      </c>
      <c r="AD33" s="3" t="s">
        <v>243</v>
      </c>
      <c r="AF33" s="16" t="s">
        <v>183</v>
      </c>
      <c r="AG33" s="3"/>
      <c r="AH33" s="3">
        <v>5504</v>
      </c>
      <c r="AI33" s="3"/>
      <c r="AJ33" s="3">
        <v>0</v>
      </c>
      <c r="AK33" s="3"/>
      <c r="AL33" s="3">
        <v>0</v>
      </c>
      <c r="AM33" s="3"/>
      <c r="AN33" s="3">
        <v>0</v>
      </c>
      <c r="AO33" s="3"/>
      <c r="AP33" s="3">
        <v>0</v>
      </c>
      <c r="AQ33" s="3"/>
      <c r="AR33" s="3">
        <v>0</v>
      </c>
      <c r="AS33" s="3"/>
      <c r="AT33" s="3">
        <v>0</v>
      </c>
      <c r="AU33" s="3"/>
      <c r="AV33" s="3">
        <v>0</v>
      </c>
      <c r="AW33" s="3"/>
      <c r="AX33" s="3">
        <v>2112</v>
      </c>
      <c r="AY33" s="3"/>
      <c r="AZ33" s="3">
        <f t="shared" si="2"/>
        <v>4930800</v>
      </c>
      <c r="BA33" s="3"/>
      <c r="BB33" s="3">
        <v>19869</v>
      </c>
      <c r="BC33" s="3"/>
      <c r="BD33" s="3">
        <v>0</v>
      </c>
      <c r="BE33" s="3" t="s">
        <v>243</v>
      </c>
      <c r="BG33" s="16" t="s">
        <v>183</v>
      </c>
      <c r="BH33" s="3"/>
      <c r="BI33" s="3"/>
      <c r="BJ33" s="3"/>
      <c r="BK33" s="3"/>
      <c r="BL33" s="3"/>
      <c r="BM33" s="3">
        <f t="shared" si="0"/>
        <v>4950669</v>
      </c>
      <c r="BN33" s="3"/>
      <c r="BO33" s="3">
        <f>GenRev!AS33-BM33</f>
        <v>-13475</v>
      </c>
      <c r="BP33" s="3"/>
      <c r="BQ33" s="3">
        <v>-154809</v>
      </c>
      <c r="BR33" s="3"/>
      <c r="BS33" s="3">
        <v>0</v>
      </c>
      <c r="BT33" s="3"/>
      <c r="BU33" s="3">
        <f t="shared" si="1"/>
        <v>-168284</v>
      </c>
      <c r="BV33" s="3"/>
      <c r="BW33" s="17">
        <f>+BU33-GenBS!AC33</f>
        <v>0</v>
      </c>
    </row>
    <row r="34" spans="1:75" s="16" customFormat="1" ht="12">
      <c r="A34" s="3" t="s">
        <v>293</v>
      </c>
      <c r="B34" s="3"/>
      <c r="C34" s="3" t="s">
        <v>184</v>
      </c>
      <c r="D34" s="3"/>
      <c r="E34" s="3">
        <v>51144</v>
      </c>
      <c r="F34" s="3"/>
      <c r="G34" s="3">
        <v>107057</v>
      </c>
      <c r="H34" s="3"/>
      <c r="I34" s="3">
        <v>0</v>
      </c>
      <c r="J34" s="3"/>
      <c r="K34" s="3">
        <v>5182407</v>
      </c>
      <c r="L34" s="3"/>
      <c r="M34" s="3">
        <v>0</v>
      </c>
      <c r="N34" s="3"/>
      <c r="O34" s="3">
        <v>544738</v>
      </c>
      <c r="P34" s="3"/>
      <c r="Q34" s="3">
        <v>541975</v>
      </c>
      <c r="R34" s="3"/>
      <c r="S34" s="3">
        <v>16405</v>
      </c>
      <c r="T34" s="3"/>
      <c r="U34" s="3">
        <v>645967</v>
      </c>
      <c r="V34" s="3"/>
      <c r="W34" s="3">
        <v>401829</v>
      </c>
      <c r="X34" s="3"/>
      <c r="Y34" s="3">
        <v>52677</v>
      </c>
      <c r="Z34" s="3"/>
      <c r="AA34" s="3">
        <v>1141444</v>
      </c>
      <c r="AC34" s="3">
        <v>0</v>
      </c>
      <c r="AD34" s="3" t="s">
        <v>293</v>
      </c>
      <c r="AF34" s="16" t="s">
        <v>184</v>
      </c>
      <c r="AG34" s="3"/>
      <c r="AH34" s="3">
        <v>65058</v>
      </c>
      <c r="AI34" s="3"/>
      <c r="AJ34" s="3">
        <v>0</v>
      </c>
      <c r="AK34" s="3"/>
      <c r="AL34" s="3">
        <v>0</v>
      </c>
      <c r="AM34" s="3"/>
      <c r="AN34" s="3">
        <v>0</v>
      </c>
      <c r="AO34" s="3"/>
      <c r="AP34" s="3">
        <v>33984</v>
      </c>
      <c r="AQ34" s="3"/>
      <c r="AR34" s="3">
        <v>0</v>
      </c>
      <c r="AS34" s="3"/>
      <c r="AT34" s="3">
        <v>0</v>
      </c>
      <c r="AU34" s="3"/>
      <c r="AV34" s="3">
        <v>211742</v>
      </c>
      <c r="AW34" s="3"/>
      <c r="AX34" s="3">
        <v>227770</v>
      </c>
      <c r="AY34" s="3"/>
      <c r="AZ34" s="3">
        <f t="shared" si="2"/>
        <v>9173053</v>
      </c>
      <c r="BA34" s="3"/>
      <c r="BB34" s="3">
        <v>759591</v>
      </c>
      <c r="BC34" s="3"/>
      <c r="BD34" s="3">
        <v>0</v>
      </c>
      <c r="BE34" s="3" t="s">
        <v>293</v>
      </c>
      <c r="BG34" s="16" t="s">
        <v>184</v>
      </c>
      <c r="BH34" s="3"/>
      <c r="BI34" s="3"/>
      <c r="BJ34" s="3"/>
      <c r="BK34" s="3"/>
      <c r="BL34" s="3"/>
      <c r="BM34" s="3">
        <f t="shared" si="0"/>
        <v>9932644</v>
      </c>
      <c r="BN34" s="3"/>
      <c r="BO34" s="3">
        <f>GenRev!AS34-BM34</f>
        <v>-444633</v>
      </c>
      <c r="BP34" s="3"/>
      <c r="BQ34" s="3">
        <v>12183575</v>
      </c>
      <c r="BR34" s="3"/>
      <c r="BS34" s="3">
        <v>0</v>
      </c>
      <c r="BT34" s="3"/>
      <c r="BU34" s="3">
        <f t="shared" si="1"/>
        <v>11738942</v>
      </c>
      <c r="BV34" s="3"/>
      <c r="BW34" s="17">
        <f>+BU34-GenBS!AC34</f>
        <v>0</v>
      </c>
    </row>
    <row r="35" spans="1:75" s="16" customFormat="1" ht="12">
      <c r="A35" s="3" t="s">
        <v>244</v>
      </c>
      <c r="B35" s="3"/>
      <c r="C35" s="3" t="s">
        <v>185</v>
      </c>
      <c r="D35" s="3"/>
      <c r="E35" s="3">
        <v>51185</v>
      </c>
      <c r="F35" s="3"/>
      <c r="G35" s="3">
        <v>0</v>
      </c>
      <c r="H35" s="3"/>
      <c r="I35" s="3">
        <v>0</v>
      </c>
      <c r="J35" s="3"/>
      <c r="K35" s="3">
        <v>5423108</v>
      </c>
      <c r="L35" s="3"/>
      <c r="M35" s="3">
        <v>0</v>
      </c>
      <c r="N35" s="3"/>
      <c r="O35" s="3">
        <v>151994</v>
      </c>
      <c r="P35" s="3"/>
      <c r="Q35" s="3">
        <v>181673</v>
      </c>
      <c r="R35" s="3"/>
      <c r="S35" s="3">
        <v>45204</v>
      </c>
      <c r="T35" s="3"/>
      <c r="U35" s="3">
        <v>489793</v>
      </c>
      <c r="V35" s="3"/>
      <c r="W35" s="3">
        <v>331497</v>
      </c>
      <c r="X35" s="3"/>
      <c r="Y35" s="3">
        <v>0</v>
      </c>
      <c r="Z35" s="3"/>
      <c r="AA35" s="3">
        <v>700686</v>
      </c>
      <c r="AC35" s="3">
        <v>0</v>
      </c>
      <c r="AD35" s="3" t="s">
        <v>244</v>
      </c>
      <c r="AF35" s="16" t="s">
        <v>185</v>
      </c>
      <c r="AG35" s="3"/>
      <c r="AH35" s="3">
        <v>70194</v>
      </c>
      <c r="AI35" s="3"/>
      <c r="AJ35" s="3">
        <v>0</v>
      </c>
      <c r="AK35" s="3"/>
      <c r="AL35" s="3">
        <v>0</v>
      </c>
      <c r="AM35" s="3"/>
      <c r="AN35" s="3">
        <v>0</v>
      </c>
      <c r="AO35" s="3"/>
      <c r="AP35" s="3">
        <v>44972</v>
      </c>
      <c r="AQ35" s="3"/>
      <c r="AR35" s="3">
        <v>0</v>
      </c>
      <c r="AS35" s="3"/>
      <c r="AT35" s="3">
        <v>0</v>
      </c>
      <c r="AU35" s="3"/>
      <c r="AV35" s="3">
        <v>0</v>
      </c>
      <c r="AW35" s="3"/>
      <c r="AX35" s="3">
        <v>0</v>
      </c>
      <c r="AY35" s="3"/>
      <c r="AZ35" s="3">
        <f t="shared" si="2"/>
        <v>7439121</v>
      </c>
      <c r="BA35" s="3"/>
      <c r="BB35" s="3">
        <v>367216</v>
      </c>
      <c r="BC35" s="3"/>
      <c r="BD35" s="3">
        <v>0</v>
      </c>
      <c r="BE35" s="3" t="s">
        <v>244</v>
      </c>
      <c r="BG35" s="16" t="s">
        <v>185</v>
      </c>
      <c r="BH35" s="3"/>
      <c r="BI35" s="3"/>
      <c r="BJ35" s="3"/>
      <c r="BK35" s="3"/>
      <c r="BL35" s="3"/>
      <c r="BM35" s="3">
        <f t="shared" si="0"/>
        <v>7806337</v>
      </c>
      <c r="BN35" s="3"/>
      <c r="BO35" s="3">
        <f>GenRev!AS35-BM35</f>
        <v>-1106601</v>
      </c>
      <c r="BP35" s="3"/>
      <c r="BQ35" s="3">
        <v>4078735</v>
      </c>
      <c r="BR35" s="3"/>
      <c r="BS35" s="3">
        <v>0</v>
      </c>
      <c r="BT35" s="3"/>
      <c r="BU35" s="3">
        <f t="shared" si="1"/>
        <v>2972134</v>
      </c>
      <c r="BV35" s="3"/>
      <c r="BW35" s="17">
        <f>+BU35-GenBS!AC35</f>
        <v>0</v>
      </c>
    </row>
    <row r="36" spans="1:75" s="16" customFormat="1" ht="12" hidden="1">
      <c r="A36" s="3" t="s">
        <v>319</v>
      </c>
      <c r="B36" s="3"/>
      <c r="C36" s="3" t="s">
        <v>187</v>
      </c>
      <c r="D36" s="3"/>
      <c r="E36" s="3">
        <v>47977</v>
      </c>
      <c r="F36" s="3"/>
      <c r="G36" s="3"/>
      <c r="H36" s="3"/>
      <c r="I36" s="3"/>
      <c r="J36" s="3"/>
      <c r="K36" s="3"/>
      <c r="L36" s="3"/>
      <c r="M36" s="3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C36" s="3"/>
      <c r="AD36" s="3" t="s">
        <v>319</v>
      </c>
      <c r="AF36" s="16" t="s">
        <v>187</v>
      </c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v>0</v>
      </c>
      <c r="AU36" s="3"/>
      <c r="AV36" s="3"/>
      <c r="AW36" s="3"/>
      <c r="AX36" s="3"/>
      <c r="AY36" s="3"/>
      <c r="AZ36" s="3">
        <f t="shared" si="2"/>
        <v>0</v>
      </c>
      <c r="BA36" s="3"/>
      <c r="BB36" s="3"/>
      <c r="BC36" s="3"/>
      <c r="BD36" s="3"/>
      <c r="BE36" s="3" t="s">
        <v>319</v>
      </c>
      <c r="BG36" s="16" t="s">
        <v>187</v>
      </c>
      <c r="BH36" s="3"/>
      <c r="BI36" s="3"/>
      <c r="BJ36" s="3"/>
      <c r="BK36" s="3"/>
      <c r="BL36" s="3"/>
      <c r="BM36" s="3">
        <f t="shared" si="0"/>
        <v>0</v>
      </c>
      <c r="BN36" s="3"/>
      <c r="BO36" s="3">
        <f>GenRev!AS36-BM36</f>
        <v>0</v>
      </c>
      <c r="BP36" s="3"/>
      <c r="BQ36" s="3"/>
      <c r="BR36" s="3"/>
      <c r="BS36" s="3"/>
      <c r="BT36" s="3"/>
      <c r="BU36" s="3">
        <f t="shared" si="1"/>
        <v>0</v>
      </c>
      <c r="BV36" s="3"/>
      <c r="BW36" s="17">
        <f>+BU36-GenBS!AC36</f>
        <v>0</v>
      </c>
    </row>
    <row r="37" spans="1:75" s="16" customFormat="1" ht="12">
      <c r="A37" s="3" t="s">
        <v>246</v>
      </c>
      <c r="B37" s="3"/>
      <c r="C37" s="3" t="s">
        <v>150</v>
      </c>
      <c r="D37" s="3"/>
      <c r="E37" s="3">
        <v>51227</v>
      </c>
      <c r="F37" s="3"/>
      <c r="G37" s="3">
        <v>1937137</v>
      </c>
      <c r="H37" s="3"/>
      <c r="I37" s="3">
        <v>6962</v>
      </c>
      <c r="J37" s="3"/>
      <c r="K37" s="3">
        <v>9689168</v>
      </c>
      <c r="L37" s="3"/>
      <c r="M37" s="3">
        <v>0</v>
      </c>
      <c r="N37" s="3"/>
      <c r="O37" s="3">
        <v>1146037</v>
      </c>
      <c r="P37" s="3"/>
      <c r="Q37" s="3">
        <v>1661738</v>
      </c>
      <c r="R37" s="3"/>
      <c r="S37" s="3">
        <v>36640</v>
      </c>
      <c r="T37" s="3"/>
      <c r="U37" s="3">
        <v>1307615</v>
      </c>
      <c r="V37" s="3"/>
      <c r="W37" s="3">
        <v>652207</v>
      </c>
      <c r="X37" s="3"/>
      <c r="Y37" s="3">
        <v>132683</v>
      </c>
      <c r="Z37" s="3"/>
      <c r="AA37" s="3">
        <v>2429803</v>
      </c>
      <c r="AC37" s="3">
        <v>56740</v>
      </c>
      <c r="AD37" s="3" t="s">
        <v>246</v>
      </c>
      <c r="AF37" s="16" t="s">
        <v>150</v>
      </c>
      <c r="AG37" s="3"/>
      <c r="AH37" s="3">
        <v>365787</v>
      </c>
      <c r="AI37" s="3"/>
      <c r="AJ37" s="3">
        <v>0</v>
      </c>
      <c r="AK37" s="3"/>
      <c r="AL37" s="3">
        <v>125027</v>
      </c>
      <c r="AM37" s="3"/>
      <c r="AN37" s="3">
        <v>0</v>
      </c>
      <c r="AO37" s="3"/>
      <c r="AP37" s="3">
        <v>306237</v>
      </c>
      <c r="AQ37" s="3"/>
      <c r="AR37" s="3">
        <v>9166</v>
      </c>
      <c r="AS37" s="3"/>
      <c r="AT37" s="3">
        <v>0</v>
      </c>
      <c r="AU37" s="3"/>
      <c r="AV37" s="3">
        <v>0</v>
      </c>
      <c r="AW37" s="3"/>
      <c r="AX37" s="3">
        <v>0</v>
      </c>
      <c r="AY37" s="3"/>
      <c r="AZ37" s="3">
        <f t="shared" si="2"/>
        <v>19862947</v>
      </c>
      <c r="BA37" s="3"/>
      <c r="BB37" s="3">
        <v>800000</v>
      </c>
      <c r="BC37" s="3"/>
      <c r="BD37" s="3">
        <v>50000</v>
      </c>
      <c r="BE37" s="3" t="s">
        <v>246</v>
      </c>
      <c r="BG37" s="16" t="s">
        <v>150</v>
      </c>
      <c r="BH37" s="3"/>
      <c r="BI37" s="3"/>
      <c r="BJ37" s="3"/>
      <c r="BK37" s="3"/>
      <c r="BL37" s="3"/>
      <c r="BM37" s="3">
        <f t="shared" si="0"/>
        <v>20712947</v>
      </c>
      <c r="BN37" s="3"/>
      <c r="BO37" s="3">
        <f>GenRev!AS37-BM37</f>
        <v>-26902</v>
      </c>
      <c r="BP37" s="3"/>
      <c r="BQ37" s="3">
        <v>6761640</v>
      </c>
      <c r="BR37" s="3"/>
      <c r="BS37" s="3">
        <v>0</v>
      </c>
      <c r="BT37" s="3"/>
      <c r="BU37" s="3">
        <f t="shared" si="1"/>
        <v>6734738</v>
      </c>
      <c r="BV37" s="3"/>
      <c r="BW37" s="17">
        <f>+BU37-GenBS!AC37</f>
        <v>0</v>
      </c>
    </row>
    <row r="38" spans="1:75" s="16" customFormat="1" ht="12">
      <c r="A38" s="3" t="s">
        <v>249</v>
      </c>
      <c r="B38" s="3"/>
      <c r="C38" s="3" t="s">
        <v>191</v>
      </c>
      <c r="D38" s="3"/>
      <c r="E38" s="3">
        <v>51243</v>
      </c>
      <c r="F38" s="3"/>
      <c r="G38" s="3">
        <v>1282412</v>
      </c>
      <c r="H38" s="3"/>
      <c r="I38" s="3">
        <v>0</v>
      </c>
      <c r="J38" s="3"/>
      <c r="K38" s="3">
        <v>3135672</v>
      </c>
      <c r="L38" s="3"/>
      <c r="M38" s="3">
        <v>0</v>
      </c>
      <c r="N38" s="3"/>
      <c r="O38" s="3">
        <v>909827</v>
      </c>
      <c r="P38" s="3"/>
      <c r="Q38" s="3">
        <v>961513</v>
      </c>
      <c r="R38" s="3"/>
      <c r="S38" s="3">
        <v>42870</v>
      </c>
      <c r="T38" s="3"/>
      <c r="U38" s="3">
        <v>689102</v>
      </c>
      <c r="V38" s="3"/>
      <c r="W38" s="3">
        <v>354550</v>
      </c>
      <c r="X38" s="3"/>
      <c r="Y38" s="3">
        <v>1897</v>
      </c>
      <c r="Z38" s="3"/>
      <c r="AA38" s="3">
        <v>1134396</v>
      </c>
      <c r="AC38" s="3">
        <v>36274</v>
      </c>
      <c r="AD38" s="3" t="s">
        <v>249</v>
      </c>
      <c r="AF38" s="16" t="s">
        <v>191</v>
      </c>
      <c r="AG38" s="3"/>
      <c r="AH38" s="3">
        <v>130511</v>
      </c>
      <c r="AI38" s="3"/>
      <c r="AJ38" s="3">
        <v>0</v>
      </c>
      <c r="AK38" s="3"/>
      <c r="AL38" s="3">
        <v>0</v>
      </c>
      <c r="AM38" s="3"/>
      <c r="AN38" s="3">
        <v>793</v>
      </c>
      <c r="AO38" s="3"/>
      <c r="AP38" s="3">
        <v>71212</v>
      </c>
      <c r="AQ38" s="3"/>
      <c r="AR38" s="3">
        <v>39779</v>
      </c>
      <c r="AS38" s="3"/>
      <c r="AT38" s="3">
        <v>0</v>
      </c>
      <c r="AU38" s="3"/>
      <c r="AV38" s="3">
        <f>465000+750000</f>
        <v>1215000</v>
      </c>
      <c r="AW38" s="3"/>
      <c r="AX38" s="3">
        <v>419444</v>
      </c>
      <c r="AY38" s="3"/>
      <c r="AZ38" s="3">
        <f t="shared" si="2"/>
        <v>10425252</v>
      </c>
      <c r="BA38" s="3"/>
      <c r="BB38" s="3">
        <v>901706</v>
      </c>
      <c r="BC38" s="3"/>
      <c r="BD38" s="3">
        <v>0</v>
      </c>
      <c r="BE38" s="3" t="s">
        <v>249</v>
      </c>
      <c r="BG38" s="16" t="s">
        <v>191</v>
      </c>
      <c r="BH38" s="3"/>
      <c r="BI38" s="3"/>
      <c r="BJ38" s="3"/>
      <c r="BK38" s="3"/>
      <c r="BL38" s="3"/>
      <c r="BM38" s="3">
        <f t="shared" si="0"/>
        <v>11326958</v>
      </c>
      <c r="BN38" s="3"/>
      <c r="BO38" s="3">
        <f>GenRev!AS38-BM38</f>
        <v>1983164</v>
      </c>
      <c r="BP38" s="3"/>
      <c r="BQ38" s="3">
        <v>17907210</v>
      </c>
      <c r="BR38" s="3"/>
      <c r="BS38" s="3">
        <v>0</v>
      </c>
      <c r="BT38" s="3"/>
      <c r="BU38" s="3">
        <f t="shared" si="1"/>
        <v>19890374</v>
      </c>
      <c r="BV38" s="3"/>
      <c r="BW38" s="17">
        <f>+BU38-GenBS!AC38</f>
        <v>0</v>
      </c>
    </row>
    <row r="39" spans="1:75" s="16" customFormat="1" ht="12">
      <c r="A39" s="3" t="s">
        <v>294</v>
      </c>
      <c r="B39" s="3"/>
      <c r="C39" s="3" t="s">
        <v>207</v>
      </c>
      <c r="D39" s="3"/>
      <c r="E39" s="3">
        <v>51391</v>
      </c>
      <c r="F39" s="3"/>
      <c r="G39" s="3">
        <v>1166052</v>
      </c>
      <c r="H39" s="3"/>
      <c r="I39" s="3">
        <v>0</v>
      </c>
      <c r="J39" s="3"/>
      <c r="K39" s="3">
        <v>4100322</v>
      </c>
      <c r="L39" s="3"/>
      <c r="M39" s="3">
        <v>0</v>
      </c>
      <c r="N39" s="3"/>
      <c r="O39" s="3">
        <v>831431</v>
      </c>
      <c r="P39" s="3"/>
      <c r="Q39" s="3">
        <v>440915</v>
      </c>
      <c r="R39" s="3"/>
      <c r="S39" s="3">
        <v>118058</v>
      </c>
      <c r="T39" s="3"/>
      <c r="U39" s="3">
        <v>629500</v>
      </c>
      <c r="V39" s="3"/>
      <c r="W39" s="3">
        <v>496148</v>
      </c>
      <c r="X39" s="3"/>
      <c r="Y39" s="3">
        <v>230624</v>
      </c>
      <c r="Z39" s="3"/>
      <c r="AA39" s="3">
        <v>1342488</v>
      </c>
      <c r="AC39" s="3">
        <v>10435</v>
      </c>
      <c r="AD39" s="3" t="s">
        <v>294</v>
      </c>
      <c r="AF39" s="16" t="s">
        <v>207</v>
      </c>
      <c r="AG39" s="3"/>
      <c r="AH39" s="3">
        <v>341592</v>
      </c>
      <c r="AI39" s="3"/>
      <c r="AJ39" s="3">
        <v>0</v>
      </c>
      <c r="AK39" s="3"/>
      <c r="AL39" s="3">
        <v>925</v>
      </c>
      <c r="AM39" s="3"/>
      <c r="AN39" s="3">
        <v>24702</v>
      </c>
      <c r="AO39" s="3"/>
      <c r="AP39" s="3">
        <v>26600</v>
      </c>
      <c r="AQ39" s="3"/>
      <c r="AR39" s="3">
        <v>2107954</v>
      </c>
      <c r="AS39" s="3"/>
      <c r="AT39" s="3">
        <v>0</v>
      </c>
      <c r="AU39" s="3"/>
      <c r="AV39" s="3">
        <v>0</v>
      </c>
      <c r="AW39" s="3"/>
      <c r="AX39" s="3">
        <v>0</v>
      </c>
      <c r="AY39" s="3"/>
      <c r="AZ39" s="3">
        <f t="shared" si="2"/>
        <v>11867746</v>
      </c>
      <c r="BA39" s="3"/>
      <c r="BB39" s="3">
        <v>10729</v>
      </c>
      <c r="BC39" s="3"/>
      <c r="BD39" s="3">
        <v>0</v>
      </c>
      <c r="BE39" s="3" t="s">
        <v>294</v>
      </c>
      <c r="BG39" s="16" t="s">
        <v>207</v>
      </c>
      <c r="BH39" s="3"/>
      <c r="BI39" s="3"/>
      <c r="BJ39" s="3"/>
      <c r="BK39" s="3"/>
      <c r="BL39" s="3"/>
      <c r="BM39" s="3">
        <f t="shared" si="0"/>
        <v>11878475</v>
      </c>
      <c r="BN39" s="3"/>
      <c r="BO39" s="3">
        <f>GenRev!AS39-BM39</f>
        <v>1468829</v>
      </c>
      <c r="BP39" s="3"/>
      <c r="BQ39" s="3">
        <v>19429024</v>
      </c>
      <c r="BR39" s="3"/>
      <c r="BS39" s="3">
        <v>0</v>
      </c>
      <c r="BT39" s="3"/>
      <c r="BU39" s="3">
        <f t="shared" si="1"/>
        <v>20897853</v>
      </c>
      <c r="BV39" s="3"/>
      <c r="BW39" s="17">
        <f>+BU39-GenBS!AC39</f>
        <v>0</v>
      </c>
    </row>
    <row r="40" spans="1:75" s="16" customFormat="1" ht="12">
      <c r="A40" s="3" t="s">
        <v>252</v>
      </c>
      <c r="B40" s="3"/>
      <c r="C40" s="3" t="s">
        <v>193</v>
      </c>
      <c r="D40" s="3"/>
      <c r="E40" s="3">
        <v>62109</v>
      </c>
      <c r="F40" s="3"/>
      <c r="G40" s="3">
        <v>2554502</v>
      </c>
      <c r="H40" s="3"/>
      <c r="I40" s="3">
        <v>460971</v>
      </c>
      <c r="J40" s="3"/>
      <c r="K40" s="3">
        <v>5486845</v>
      </c>
      <c r="L40" s="3"/>
      <c r="M40" s="3">
        <v>67275</v>
      </c>
      <c r="N40" s="3"/>
      <c r="O40" s="3">
        <v>1519735</v>
      </c>
      <c r="P40" s="3"/>
      <c r="Q40" s="3">
        <v>754220</v>
      </c>
      <c r="R40" s="3"/>
      <c r="S40" s="3">
        <v>36179</v>
      </c>
      <c r="T40" s="3"/>
      <c r="U40" s="3">
        <v>1637432</v>
      </c>
      <c r="V40" s="3"/>
      <c r="W40" s="3">
        <v>502663</v>
      </c>
      <c r="X40" s="3"/>
      <c r="Y40" s="3">
        <v>182478</v>
      </c>
      <c r="Z40" s="3"/>
      <c r="AA40" s="3">
        <v>1523952</v>
      </c>
      <c r="AC40" s="3">
        <v>42313</v>
      </c>
      <c r="AD40" s="3" t="s">
        <v>252</v>
      </c>
      <c r="AF40" s="16" t="s">
        <v>193</v>
      </c>
      <c r="AG40" s="3"/>
      <c r="AH40" s="3">
        <v>120695</v>
      </c>
      <c r="AI40" s="3"/>
      <c r="AJ40" s="3">
        <v>0</v>
      </c>
      <c r="AK40" s="3"/>
      <c r="AL40" s="3">
        <v>0</v>
      </c>
      <c r="AM40" s="3"/>
      <c r="AN40" s="3">
        <v>70398</v>
      </c>
      <c r="AO40" s="3"/>
      <c r="AP40" s="3">
        <v>0</v>
      </c>
      <c r="AQ40" s="3"/>
      <c r="AR40" s="3">
        <v>94039</v>
      </c>
      <c r="AS40" s="3"/>
      <c r="AT40" s="3">
        <v>0</v>
      </c>
      <c r="AU40" s="3"/>
      <c r="AV40" s="3">
        <v>0</v>
      </c>
      <c r="AW40" s="3"/>
      <c r="AX40" s="3">
        <v>0</v>
      </c>
      <c r="AY40" s="3"/>
      <c r="AZ40" s="3">
        <f t="shared" si="2"/>
        <v>15053697</v>
      </c>
      <c r="BA40" s="3"/>
      <c r="BB40" s="3">
        <v>80000</v>
      </c>
      <c r="BC40" s="3"/>
      <c r="BD40" s="3">
        <v>0</v>
      </c>
      <c r="BE40" s="3" t="s">
        <v>252</v>
      </c>
      <c r="BG40" s="16" t="s">
        <v>193</v>
      </c>
      <c r="BH40" s="3"/>
      <c r="BI40" s="3"/>
      <c r="BJ40" s="3"/>
      <c r="BK40" s="3"/>
      <c r="BL40" s="3"/>
      <c r="BM40" s="3">
        <f t="shared" si="0"/>
        <v>15133697</v>
      </c>
      <c r="BN40" s="3"/>
      <c r="BO40" s="3">
        <f>GenRev!AS40-BM40</f>
        <v>1309388</v>
      </c>
      <c r="BP40" s="3"/>
      <c r="BQ40" s="3">
        <v>5400893</v>
      </c>
      <c r="BR40" s="3"/>
      <c r="BS40" s="3">
        <v>0</v>
      </c>
      <c r="BT40" s="3"/>
      <c r="BU40" s="3">
        <f t="shared" si="1"/>
        <v>6710281</v>
      </c>
      <c r="BV40" s="3"/>
      <c r="BW40" s="17">
        <f>+BU40-GenBS!AC40</f>
        <v>0</v>
      </c>
    </row>
    <row r="41" spans="1:75" s="16" customFormat="1" ht="12">
      <c r="A41" s="3" t="s">
        <v>295</v>
      </c>
      <c r="B41" s="3"/>
      <c r="C41" s="3" t="s">
        <v>199</v>
      </c>
      <c r="D41" s="3"/>
      <c r="E41" s="3">
        <v>51284</v>
      </c>
      <c r="F41" s="3"/>
      <c r="G41" s="3">
        <v>5061671</v>
      </c>
      <c r="H41" s="3"/>
      <c r="I41" s="3">
        <v>346541</v>
      </c>
      <c r="J41" s="3"/>
      <c r="K41" s="3">
        <v>10578633</v>
      </c>
      <c r="L41" s="3"/>
      <c r="M41" s="3">
        <v>0</v>
      </c>
      <c r="N41" s="3"/>
      <c r="O41" s="3">
        <v>1599431</v>
      </c>
      <c r="P41" s="3"/>
      <c r="Q41" s="3">
        <v>1446072</v>
      </c>
      <c r="R41" s="3"/>
      <c r="S41" s="3">
        <v>52959</v>
      </c>
      <c r="T41" s="3"/>
      <c r="U41" s="3">
        <v>2083460</v>
      </c>
      <c r="V41" s="3"/>
      <c r="W41" s="3">
        <v>821660</v>
      </c>
      <c r="X41" s="3"/>
      <c r="Y41" s="3">
        <v>483216</v>
      </c>
      <c r="Z41" s="3"/>
      <c r="AA41" s="3">
        <v>3896805</v>
      </c>
      <c r="AC41" s="3">
        <v>86718</v>
      </c>
      <c r="AD41" s="3" t="s">
        <v>295</v>
      </c>
      <c r="AF41" s="16" t="s">
        <v>199</v>
      </c>
      <c r="AG41" s="3"/>
      <c r="AH41" s="3">
        <v>1954600</v>
      </c>
      <c r="AI41" s="3"/>
      <c r="AJ41" s="3">
        <v>0</v>
      </c>
      <c r="AK41" s="3"/>
      <c r="AL41" s="3">
        <v>0</v>
      </c>
      <c r="AM41" s="3"/>
      <c r="AN41" s="3">
        <v>0</v>
      </c>
      <c r="AO41" s="3"/>
      <c r="AP41" s="3">
        <v>0</v>
      </c>
      <c r="AQ41" s="3"/>
      <c r="AR41" s="3">
        <v>25402</v>
      </c>
      <c r="AS41" s="3"/>
      <c r="AT41" s="3">
        <v>0</v>
      </c>
      <c r="AU41" s="3"/>
      <c r="AV41" s="3">
        <v>0</v>
      </c>
      <c r="AW41" s="3"/>
      <c r="AX41" s="3">
        <v>0</v>
      </c>
      <c r="AY41" s="3"/>
      <c r="AZ41" s="3">
        <f t="shared" si="2"/>
        <v>28437168</v>
      </c>
      <c r="BA41" s="3"/>
      <c r="BB41" s="3">
        <v>747395</v>
      </c>
      <c r="BC41" s="3"/>
      <c r="BD41" s="3">
        <v>0</v>
      </c>
      <c r="BE41" s="3" t="s">
        <v>295</v>
      </c>
      <c r="BG41" s="16" t="s">
        <v>199</v>
      </c>
      <c r="BH41" s="3"/>
      <c r="BI41" s="3"/>
      <c r="BJ41" s="3"/>
      <c r="BK41" s="3"/>
      <c r="BL41" s="3"/>
      <c r="BM41" s="3">
        <f t="shared" si="0"/>
        <v>29184563</v>
      </c>
      <c r="BN41" s="3"/>
      <c r="BO41" s="3">
        <f>GenRev!AS41-BM41</f>
        <v>-216507</v>
      </c>
      <c r="BP41" s="3"/>
      <c r="BQ41" s="3">
        <v>1568187</v>
      </c>
      <c r="BR41" s="3"/>
      <c r="BS41" s="3">
        <v>0</v>
      </c>
      <c r="BT41" s="3"/>
      <c r="BU41" s="3">
        <f t="shared" si="1"/>
        <v>1351680</v>
      </c>
      <c r="BV41" s="3"/>
      <c r="BW41" s="17">
        <f>+BU41-GenBS!AC41</f>
        <v>0</v>
      </c>
    </row>
    <row r="42" spans="1:75" s="16" customFormat="1" ht="12">
      <c r="A42" s="3" t="s">
        <v>296</v>
      </c>
      <c r="B42" s="3"/>
      <c r="C42" s="3" t="s">
        <v>201</v>
      </c>
      <c r="D42" s="3"/>
      <c r="E42" s="3">
        <v>51300</v>
      </c>
      <c r="F42" s="3"/>
      <c r="G42" s="3">
        <v>1970269</v>
      </c>
      <c r="H42" s="3"/>
      <c r="I42" s="3">
        <v>0</v>
      </c>
      <c r="J42" s="3"/>
      <c r="K42" s="3">
        <v>5730178</v>
      </c>
      <c r="L42" s="3"/>
      <c r="M42" s="3">
        <v>8992</v>
      </c>
      <c r="N42" s="3"/>
      <c r="O42" s="3">
        <v>849415</v>
      </c>
      <c r="P42" s="3"/>
      <c r="Q42" s="3">
        <v>158561</v>
      </c>
      <c r="R42" s="3"/>
      <c r="S42" s="3">
        <v>77540</v>
      </c>
      <c r="T42" s="3"/>
      <c r="U42" s="3">
        <v>1393555</v>
      </c>
      <c r="V42" s="3"/>
      <c r="W42" s="3">
        <v>641895</v>
      </c>
      <c r="X42" s="3"/>
      <c r="Y42" s="3">
        <v>213661</v>
      </c>
      <c r="Z42" s="3"/>
      <c r="AA42" s="3">
        <v>1127735</v>
      </c>
      <c r="AC42" s="3">
        <v>55769</v>
      </c>
      <c r="AD42" s="3" t="s">
        <v>296</v>
      </c>
      <c r="AF42" s="16" t="s">
        <v>201</v>
      </c>
      <c r="AG42" s="3"/>
      <c r="AH42" s="3">
        <v>513938</v>
      </c>
      <c r="AI42" s="3"/>
      <c r="AJ42" s="3">
        <v>0</v>
      </c>
      <c r="AK42" s="3"/>
      <c r="AL42" s="3">
        <v>0</v>
      </c>
      <c r="AM42" s="3"/>
      <c r="AN42" s="3">
        <v>0</v>
      </c>
      <c r="AO42" s="3"/>
      <c r="AP42" s="3">
        <v>87675</v>
      </c>
      <c r="AQ42" s="3"/>
      <c r="AR42" s="3">
        <v>43150</v>
      </c>
      <c r="AS42" s="3"/>
      <c r="AT42" s="3">
        <v>0</v>
      </c>
      <c r="AU42" s="3"/>
      <c r="AV42" s="3">
        <v>19537</v>
      </c>
      <c r="AW42" s="3"/>
      <c r="AX42" s="3">
        <v>6628</v>
      </c>
      <c r="AY42" s="3"/>
      <c r="AZ42" s="3">
        <f t="shared" si="2"/>
        <v>12898498</v>
      </c>
      <c r="BA42" s="3"/>
      <c r="BB42" s="3">
        <v>68296</v>
      </c>
      <c r="BC42" s="3"/>
      <c r="BD42" s="3">
        <v>0</v>
      </c>
      <c r="BE42" s="3" t="s">
        <v>296</v>
      </c>
      <c r="BG42" s="16" t="s">
        <v>201</v>
      </c>
      <c r="BH42" s="3"/>
      <c r="BI42" s="3"/>
      <c r="BJ42" s="3"/>
      <c r="BK42" s="3"/>
      <c r="BL42" s="3"/>
      <c r="BM42" s="3">
        <f t="shared" si="0"/>
        <v>12966794</v>
      </c>
      <c r="BN42" s="3"/>
      <c r="BO42" s="3">
        <f>GenRev!AS42-BM42</f>
        <v>1131154</v>
      </c>
      <c r="BP42" s="3"/>
      <c r="BQ42" s="3">
        <v>9130840</v>
      </c>
      <c r="BR42" s="3"/>
      <c r="BS42" s="3">
        <v>0</v>
      </c>
      <c r="BT42" s="3"/>
      <c r="BU42" s="3">
        <f t="shared" si="1"/>
        <v>10261994</v>
      </c>
      <c r="BV42" s="3"/>
      <c r="BW42" s="17">
        <f>+BU42-GenBS!AC42</f>
        <v>0</v>
      </c>
    </row>
    <row r="43" spans="1:75" s="16" customFormat="1" ht="12">
      <c r="A43" s="3" t="s">
        <v>245</v>
      </c>
      <c r="B43" s="3"/>
      <c r="C43" s="3" t="s">
        <v>188</v>
      </c>
      <c r="D43" s="3"/>
      <c r="E43" s="3">
        <v>51334</v>
      </c>
      <c r="F43" s="3"/>
      <c r="G43" s="3">
        <v>1165112</v>
      </c>
      <c r="H43" s="3"/>
      <c r="I43" s="3">
        <v>548419</v>
      </c>
      <c r="J43" s="3"/>
      <c r="K43" s="3">
        <v>4620434</v>
      </c>
      <c r="L43" s="3"/>
      <c r="M43" s="3">
        <v>65605</v>
      </c>
      <c r="N43" s="3"/>
      <c r="O43" s="3">
        <v>534959</v>
      </c>
      <c r="P43" s="3"/>
      <c r="Q43" s="3">
        <v>250994</v>
      </c>
      <c r="R43" s="3"/>
      <c r="S43" s="3">
        <v>43570</v>
      </c>
      <c r="T43" s="3"/>
      <c r="U43" s="3">
        <v>871531</v>
      </c>
      <c r="V43" s="3"/>
      <c r="W43" s="3">
        <v>271239</v>
      </c>
      <c r="X43" s="3"/>
      <c r="Y43" s="3">
        <v>648871</v>
      </c>
      <c r="Z43" s="3"/>
      <c r="AA43" s="3">
        <v>1454954</v>
      </c>
      <c r="AC43" s="3">
        <v>53120</v>
      </c>
      <c r="AD43" s="3" t="s">
        <v>245</v>
      </c>
      <c r="AF43" s="16" t="s">
        <v>188</v>
      </c>
      <c r="AG43" s="3"/>
      <c r="AH43" s="3">
        <v>749135</v>
      </c>
      <c r="AI43" s="3"/>
      <c r="AJ43" s="3">
        <v>0</v>
      </c>
      <c r="AK43" s="3"/>
      <c r="AL43" s="3">
        <v>0</v>
      </c>
      <c r="AM43" s="3"/>
      <c r="AN43" s="3">
        <v>0</v>
      </c>
      <c r="AO43" s="3"/>
      <c r="AP43" s="3">
        <v>0</v>
      </c>
      <c r="AQ43" s="3"/>
      <c r="AR43" s="3">
        <v>0</v>
      </c>
      <c r="AS43" s="3"/>
      <c r="AT43" s="3">
        <v>0</v>
      </c>
      <c r="AU43" s="3"/>
      <c r="AV43" s="3">
        <v>258333</v>
      </c>
      <c r="AW43" s="3"/>
      <c r="AX43" s="3">
        <v>56135</v>
      </c>
      <c r="AY43" s="3"/>
      <c r="AZ43" s="3">
        <f t="shared" si="2"/>
        <v>11592411</v>
      </c>
      <c r="BA43" s="3"/>
      <c r="BB43" s="3">
        <v>79596</v>
      </c>
      <c r="BC43" s="3"/>
      <c r="BD43" s="3">
        <v>0</v>
      </c>
      <c r="BE43" s="3" t="s">
        <v>245</v>
      </c>
      <c r="BG43" s="16" t="s">
        <v>188</v>
      </c>
      <c r="BH43" s="3"/>
      <c r="BI43" s="3"/>
      <c r="BJ43" s="3"/>
      <c r="BK43" s="3"/>
      <c r="BL43" s="3"/>
      <c r="BM43" s="3">
        <f t="shared" si="0"/>
        <v>11672007</v>
      </c>
      <c r="BN43" s="3"/>
      <c r="BO43" s="3">
        <f>GenRev!AS43-BM43</f>
        <v>464912</v>
      </c>
      <c r="BP43" s="3"/>
      <c r="BQ43" s="3">
        <v>6963161</v>
      </c>
      <c r="BR43" s="3"/>
      <c r="BS43" s="3">
        <v>0</v>
      </c>
      <c r="BT43" s="3"/>
      <c r="BU43" s="3">
        <f t="shared" si="1"/>
        <v>7428073</v>
      </c>
      <c r="BV43" s="3"/>
      <c r="BW43" s="17">
        <f>+BU43-GenBS!AC43</f>
        <v>0</v>
      </c>
    </row>
    <row r="44" spans="1:75" s="16" customFormat="1" ht="12">
      <c r="A44" s="3" t="s">
        <v>297</v>
      </c>
      <c r="B44" s="3"/>
      <c r="C44" s="3" t="s">
        <v>236</v>
      </c>
      <c r="D44" s="3"/>
      <c r="E44" s="3">
        <v>51359</v>
      </c>
      <c r="F44" s="3"/>
      <c r="G44" s="3">
        <v>0</v>
      </c>
      <c r="H44" s="3"/>
      <c r="I44" s="3">
        <v>588674</v>
      </c>
      <c r="J44" s="3"/>
      <c r="K44" s="3">
        <v>15233238</v>
      </c>
      <c r="L44" s="3"/>
      <c r="M44" s="3">
        <f>14217+595052</f>
        <v>609269</v>
      </c>
      <c r="N44" s="3"/>
      <c r="O44" s="3">
        <v>2384180</v>
      </c>
      <c r="P44" s="3"/>
      <c r="Q44" s="3">
        <v>2149439</v>
      </c>
      <c r="R44" s="3"/>
      <c r="S44" s="3">
        <v>85443</v>
      </c>
      <c r="T44" s="3"/>
      <c r="U44" s="3">
        <v>885054</v>
      </c>
      <c r="V44" s="3"/>
      <c r="W44" s="3">
        <v>593065</v>
      </c>
      <c r="X44" s="3"/>
      <c r="Y44" s="3">
        <v>0</v>
      </c>
      <c r="Z44" s="3"/>
      <c r="AA44" s="3">
        <v>2577815</v>
      </c>
      <c r="AC44" s="3">
        <v>0</v>
      </c>
      <c r="AD44" s="3" t="s">
        <v>297</v>
      </c>
      <c r="AF44" s="16" t="s">
        <v>236</v>
      </c>
      <c r="AG44" s="3"/>
      <c r="AH44" s="3">
        <v>242916</v>
      </c>
      <c r="AI44" s="3"/>
      <c r="AJ44" s="3">
        <v>0</v>
      </c>
      <c r="AK44" s="3"/>
      <c r="AL44" s="3">
        <v>0</v>
      </c>
      <c r="AM44" s="3"/>
      <c r="AN44" s="3">
        <v>200922</v>
      </c>
      <c r="AO44" s="3"/>
      <c r="AP44" s="3">
        <v>178510</v>
      </c>
      <c r="AQ44" s="3"/>
      <c r="AR44" s="3">
        <v>10667</v>
      </c>
      <c r="AS44" s="3"/>
      <c r="AT44" s="3">
        <v>0</v>
      </c>
      <c r="AU44" s="3"/>
      <c r="AV44" s="3">
        <v>29508</v>
      </c>
      <c r="AW44" s="3"/>
      <c r="AX44" s="3">
        <v>4574</v>
      </c>
      <c r="AY44" s="3"/>
      <c r="AZ44" s="3">
        <f t="shared" si="2"/>
        <v>25773274</v>
      </c>
      <c r="BA44" s="3"/>
      <c r="BB44" s="3">
        <v>2281408</v>
      </c>
      <c r="BC44" s="3"/>
      <c r="BD44" s="3">
        <v>0</v>
      </c>
      <c r="BE44" s="3" t="s">
        <v>297</v>
      </c>
      <c r="BG44" s="16" t="s">
        <v>236</v>
      </c>
      <c r="BH44" s="3"/>
      <c r="BI44" s="3">
        <v>0</v>
      </c>
      <c r="BJ44" s="3"/>
      <c r="BK44" s="3">
        <v>0</v>
      </c>
      <c r="BL44" s="3"/>
      <c r="BM44" s="3">
        <f t="shared" si="0"/>
        <v>28054682</v>
      </c>
      <c r="BN44" s="3"/>
      <c r="BO44" s="3">
        <f>GenRev!AS44-BM44</f>
        <v>-973746</v>
      </c>
      <c r="BP44" s="3"/>
      <c r="BQ44" s="3">
        <v>3584568</v>
      </c>
      <c r="BR44" s="3"/>
      <c r="BS44" s="3">
        <v>0</v>
      </c>
      <c r="BT44" s="3"/>
      <c r="BU44" s="3">
        <f t="shared" si="1"/>
        <v>2610822</v>
      </c>
      <c r="BV44" s="3"/>
      <c r="BW44" s="17">
        <f>+BU44-GenBS!AC44</f>
        <v>0</v>
      </c>
    </row>
    <row r="45" spans="1:75" s="16" customFormat="1" ht="12">
      <c r="A45" s="3" t="s">
        <v>298</v>
      </c>
      <c r="B45" s="3"/>
      <c r="C45" s="3" t="s">
        <v>214</v>
      </c>
      <c r="D45" s="3"/>
      <c r="E45" s="3">
        <v>51433</v>
      </c>
      <c r="F45" s="3"/>
      <c r="G45" s="3">
        <v>950138</v>
      </c>
      <c r="H45" s="3"/>
      <c r="I45" s="3">
        <v>0</v>
      </c>
      <c r="J45" s="3"/>
      <c r="K45" s="3">
        <v>9593667</v>
      </c>
      <c r="L45" s="3"/>
      <c r="M45" s="3">
        <v>0</v>
      </c>
      <c r="N45" s="3"/>
      <c r="O45" s="3">
        <v>609645</v>
      </c>
      <c r="P45" s="3"/>
      <c r="Q45" s="3">
        <v>913071</v>
      </c>
      <c r="R45" s="3"/>
      <c r="S45" s="3">
        <v>24013</v>
      </c>
      <c r="T45" s="3"/>
      <c r="U45" s="3">
        <v>412577</v>
      </c>
      <c r="V45" s="3"/>
      <c r="W45" s="3">
        <v>521162</v>
      </c>
      <c r="X45" s="3"/>
      <c r="Y45" s="3">
        <v>11363</v>
      </c>
      <c r="Z45" s="3"/>
      <c r="AA45" s="3">
        <v>1237848</v>
      </c>
      <c r="AC45" s="3">
        <v>77</v>
      </c>
      <c r="AD45" s="3" t="s">
        <v>298</v>
      </c>
      <c r="AF45" s="16" t="s">
        <v>214</v>
      </c>
      <c r="AG45" s="3"/>
      <c r="AH45" s="3">
        <v>40872</v>
      </c>
      <c r="AI45" s="3"/>
      <c r="AJ45" s="3">
        <v>0</v>
      </c>
      <c r="AK45" s="3"/>
      <c r="AL45" s="3">
        <v>0</v>
      </c>
      <c r="AM45" s="3"/>
      <c r="AN45" s="3">
        <v>0</v>
      </c>
      <c r="AO45" s="3"/>
      <c r="AP45" s="3">
        <v>25694</v>
      </c>
      <c r="AQ45" s="3"/>
      <c r="AR45" s="3">
        <v>0</v>
      </c>
      <c r="AS45" s="3"/>
      <c r="AT45" s="3">
        <v>0</v>
      </c>
      <c r="AU45" s="3"/>
      <c r="AV45" s="3">
        <v>272886</v>
      </c>
      <c r="AW45" s="3"/>
      <c r="AX45" s="3">
        <v>0</v>
      </c>
      <c r="AY45" s="3"/>
      <c r="AZ45" s="3">
        <f t="shared" si="2"/>
        <v>14613013</v>
      </c>
      <c r="BA45" s="3"/>
      <c r="BB45" s="3">
        <v>670314</v>
      </c>
      <c r="BC45" s="3"/>
      <c r="BD45" s="3">
        <v>0</v>
      </c>
      <c r="BE45" s="3" t="s">
        <v>298</v>
      </c>
      <c r="BG45" s="16" t="s">
        <v>214</v>
      </c>
      <c r="BH45" s="3"/>
      <c r="BI45" s="3">
        <v>0</v>
      </c>
      <c r="BJ45" s="3"/>
      <c r="BK45" s="3">
        <v>0</v>
      </c>
      <c r="BL45" s="3"/>
      <c r="BM45" s="3">
        <f t="shared" si="0"/>
        <v>15283327</v>
      </c>
      <c r="BN45" s="3"/>
      <c r="BO45" s="3">
        <f>GenRev!AS45-BM45</f>
        <v>2078487</v>
      </c>
      <c r="BP45" s="3"/>
      <c r="BQ45" s="3">
        <v>4390326</v>
      </c>
      <c r="BR45" s="3"/>
      <c r="BS45" s="3">
        <v>0</v>
      </c>
      <c r="BT45" s="3"/>
      <c r="BU45" s="3">
        <f t="shared" si="1"/>
        <v>6468813</v>
      </c>
      <c r="BV45" s="3"/>
      <c r="BW45" s="17">
        <f>+BU45-GenBS!AC45</f>
        <v>0</v>
      </c>
    </row>
    <row r="46" spans="1:75" s="16" customFormat="1" ht="12">
      <c r="A46" s="3" t="s">
        <v>299</v>
      </c>
      <c r="B46" s="3"/>
      <c r="C46" s="3" t="s">
        <v>254</v>
      </c>
      <c r="D46" s="3"/>
      <c r="E46" s="3">
        <v>51375</v>
      </c>
      <c r="F46" s="3"/>
      <c r="G46" s="3">
        <v>0</v>
      </c>
      <c r="H46" s="3"/>
      <c r="I46" s="3">
        <v>84816</v>
      </c>
      <c r="J46" s="3"/>
      <c r="K46" s="3">
        <v>4060603</v>
      </c>
      <c r="L46" s="3"/>
      <c r="M46" s="3">
        <v>0</v>
      </c>
      <c r="N46" s="3"/>
      <c r="O46" s="3">
        <v>421786</v>
      </c>
      <c r="P46" s="3"/>
      <c r="Q46" s="3">
        <v>101744</v>
      </c>
      <c r="R46" s="3"/>
      <c r="S46" s="3">
        <v>77634</v>
      </c>
      <c r="T46" s="3"/>
      <c r="U46" s="3">
        <v>416348</v>
      </c>
      <c r="V46" s="3"/>
      <c r="W46" s="3">
        <v>341412</v>
      </c>
      <c r="X46" s="3"/>
      <c r="Y46" s="3">
        <v>0</v>
      </c>
      <c r="Z46" s="3"/>
      <c r="AA46" s="3">
        <v>664052</v>
      </c>
      <c r="AC46" s="3">
        <v>14139</v>
      </c>
      <c r="AD46" s="3" t="s">
        <v>299</v>
      </c>
      <c r="AF46" s="16" t="s">
        <v>254</v>
      </c>
      <c r="AG46" s="3"/>
      <c r="AH46" s="3">
        <v>88898</v>
      </c>
      <c r="AI46" s="3"/>
      <c r="AJ46" s="3">
        <v>0</v>
      </c>
      <c r="AK46" s="3"/>
      <c r="AL46" s="3">
        <v>0</v>
      </c>
      <c r="AM46" s="3"/>
      <c r="AN46" s="3">
        <v>62153</v>
      </c>
      <c r="AO46" s="3"/>
      <c r="AP46" s="3">
        <v>700</v>
      </c>
      <c r="AQ46" s="3"/>
      <c r="AR46" s="3">
        <v>3250</v>
      </c>
      <c r="AS46" s="3"/>
      <c r="AT46" s="3">
        <v>0</v>
      </c>
      <c r="AU46" s="3"/>
      <c r="AV46" s="3">
        <v>48797</v>
      </c>
      <c r="AW46" s="3"/>
      <c r="AX46" s="3">
        <v>8178</v>
      </c>
      <c r="AY46" s="3"/>
      <c r="AZ46" s="3">
        <f t="shared" si="2"/>
        <v>6394510</v>
      </c>
      <c r="BA46" s="3"/>
      <c r="BB46" s="3">
        <v>219299</v>
      </c>
      <c r="BC46" s="3"/>
      <c r="BD46" s="3">
        <v>0</v>
      </c>
      <c r="BE46" s="3" t="s">
        <v>299</v>
      </c>
      <c r="BG46" s="16" t="s">
        <v>254</v>
      </c>
      <c r="BH46" s="3"/>
      <c r="BI46" s="3">
        <v>0</v>
      </c>
      <c r="BJ46" s="3"/>
      <c r="BK46" s="3">
        <v>0</v>
      </c>
      <c r="BL46" s="3"/>
      <c r="BM46" s="3">
        <f t="shared" ref="BM46:BM64" si="3">+BD46+BI46+BB46+AZ46</f>
        <v>6613809</v>
      </c>
      <c r="BN46" s="3"/>
      <c r="BO46" s="3">
        <f>GenRev!AS46-BM46</f>
        <v>-456828</v>
      </c>
      <c r="BP46" s="3"/>
      <c r="BQ46" s="3">
        <v>4825530</v>
      </c>
      <c r="BR46" s="3"/>
      <c r="BS46" s="3">
        <v>0</v>
      </c>
      <c r="BT46" s="3"/>
      <c r="BU46" s="3">
        <f t="shared" ref="BU46:BU64" si="4">+BQ46+BO46-BS46</f>
        <v>4368702</v>
      </c>
      <c r="BV46" s="3"/>
      <c r="BW46" s="17">
        <f>+BU46-GenBS!AC46</f>
        <v>0</v>
      </c>
    </row>
    <row r="47" spans="1:75" s="16" customFormat="1" ht="12">
      <c r="A47" s="3" t="s">
        <v>300</v>
      </c>
      <c r="B47" s="3"/>
      <c r="C47" s="3" t="s">
        <v>212</v>
      </c>
      <c r="D47" s="3"/>
      <c r="E47" s="3">
        <v>51417</v>
      </c>
      <c r="F47" s="3"/>
      <c r="G47" s="3">
        <v>767654</v>
      </c>
      <c r="H47" s="3"/>
      <c r="I47" s="3">
        <v>498153</v>
      </c>
      <c r="J47" s="3"/>
      <c r="K47" s="3">
        <v>8664502</v>
      </c>
      <c r="L47" s="3"/>
      <c r="M47" s="3">
        <v>0</v>
      </c>
      <c r="N47" s="3"/>
      <c r="O47" s="3">
        <v>817583</v>
      </c>
      <c r="P47" s="3"/>
      <c r="Q47" s="3">
        <v>795075</v>
      </c>
      <c r="R47" s="3"/>
      <c r="S47" s="3">
        <v>77430</v>
      </c>
      <c r="T47" s="3"/>
      <c r="U47" s="3">
        <v>1179464</v>
      </c>
      <c r="V47" s="3"/>
      <c r="W47" s="3">
        <v>424768</v>
      </c>
      <c r="X47" s="3"/>
      <c r="Y47" s="3">
        <v>173891</v>
      </c>
      <c r="Z47" s="3"/>
      <c r="AA47" s="3">
        <v>1111757</v>
      </c>
      <c r="AC47" s="3">
        <v>1710</v>
      </c>
      <c r="AD47" s="3" t="s">
        <v>300</v>
      </c>
      <c r="AF47" s="16" t="s">
        <v>212</v>
      </c>
      <c r="AG47" s="3"/>
      <c r="AH47" s="3">
        <v>158367</v>
      </c>
      <c r="AI47" s="3"/>
      <c r="AJ47" s="3">
        <v>0</v>
      </c>
      <c r="AK47" s="3"/>
      <c r="AL47" s="3">
        <v>0</v>
      </c>
      <c r="AM47" s="3"/>
      <c r="AN47" s="3">
        <v>140</v>
      </c>
      <c r="AO47" s="3"/>
      <c r="AP47" s="3">
        <v>68910</v>
      </c>
      <c r="AQ47" s="3"/>
      <c r="AR47" s="3">
        <v>20670</v>
      </c>
      <c r="AS47" s="3"/>
      <c r="AT47" s="3">
        <v>0</v>
      </c>
      <c r="AU47" s="3"/>
      <c r="AV47" s="3">
        <v>304235</v>
      </c>
      <c r="AW47" s="3"/>
      <c r="AX47" s="3">
        <v>588172</v>
      </c>
      <c r="AY47" s="3"/>
      <c r="AZ47" s="3">
        <f t="shared" si="2"/>
        <v>15652481</v>
      </c>
      <c r="BA47" s="3"/>
      <c r="BB47" s="3">
        <v>352464</v>
      </c>
      <c r="BC47" s="3"/>
      <c r="BD47" s="3">
        <v>0</v>
      </c>
      <c r="BE47" s="3" t="s">
        <v>300</v>
      </c>
      <c r="BG47" s="16" t="s">
        <v>212</v>
      </c>
      <c r="BH47" s="3"/>
      <c r="BI47" s="3">
        <v>0</v>
      </c>
      <c r="BJ47" s="3"/>
      <c r="BK47" s="3">
        <v>0</v>
      </c>
      <c r="BL47" s="3"/>
      <c r="BM47" s="3">
        <f t="shared" si="3"/>
        <v>16004945</v>
      </c>
      <c r="BN47" s="3"/>
      <c r="BO47" s="3">
        <f>GenRev!AS47-BM47</f>
        <v>-45697</v>
      </c>
      <c r="BP47" s="3"/>
      <c r="BQ47" s="3">
        <v>10659725</v>
      </c>
      <c r="BR47" s="3"/>
      <c r="BS47" s="3">
        <v>2964</v>
      </c>
      <c r="BT47" s="3"/>
      <c r="BU47" s="3">
        <f t="shared" si="4"/>
        <v>10611064</v>
      </c>
      <c r="BV47" s="3"/>
      <c r="BW47" s="17">
        <f>+BU47-GenBS!AC47</f>
        <v>0</v>
      </c>
    </row>
    <row r="48" spans="1:75" s="16" customFormat="1" ht="12">
      <c r="A48" s="3" t="s">
        <v>301</v>
      </c>
      <c r="B48" s="3"/>
      <c r="C48" s="3" t="s">
        <v>167</v>
      </c>
      <c r="D48" s="3"/>
      <c r="E48" s="3">
        <v>50948</v>
      </c>
      <c r="F48" s="3"/>
      <c r="G48" s="3">
        <v>0</v>
      </c>
      <c r="H48" s="3"/>
      <c r="I48" s="3">
        <v>0</v>
      </c>
      <c r="J48" s="3"/>
      <c r="K48" s="3">
        <v>6015358</v>
      </c>
      <c r="L48" s="3"/>
      <c r="M48" s="3">
        <v>0</v>
      </c>
      <c r="N48" s="3"/>
      <c r="O48" s="3">
        <v>1910085</v>
      </c>
      <c r="P48" s="3"/>
      <c r="Q48" s="3">
        <v>1559718</v>
      </c>
      <c r="R48" s="3"/>
      <c r="S48" s="3">
        <v>119605</v>
      </c>
      <c r="T48" s="3"/>
      <c r="U48" s="3">
        <v>855655</v>
      </c>
      <c r="V48" s="3"/>
      <c r="W48" s="3">
        <v>723437</v>
      </c>
      <c r="X48" s="3"/>
      <c r="Y48" s="3">
        <v>263323</v>
      </c>
      <c r="Z48" s="3"/>
      <c r="AA48" s="3">
        <v>1762654</v>
      </c>
      <c r="AC48" s="3">
        <v>28212</v>
      </c>
      <c r="AD48" s="3" t="s">
        <v>301</v>
      </c>
      <c r="AF48" s="16" t="s">
        <v>167</v>
      </c>
      <c r="AG48" s="3"/>
      <c r="AH48" s="3">
        <v>1106237</v>
      </c>
      <c r="AI48" s="3"/>
      <c r="AJ48" s="3">
        <v>0</v>
      </c>
      <c r="AK48" s="3"/>
      <c r="AL48" s="3">
        <v>0</v>
      </c>
      <c r="AM48" s="3"/>
      <c r="AN48" s="3">
        <v>0</v>
      </c>
      <c r="AO48" s="3"/>
      <c r="AP48" s="3">
        <v>38059</v>
      </c>
      <c r="AQ48" s="3"/>
      <c r="AR48" s="3">
        <v>1536158</v>
      </c>
      <c r="AS48" s="3"/>
      <c r="AT48" s="3">
        <v>0</v>
      </c>
      <c r="AU48" s="3"/>
      <c r="AV48" s="3">
        <v>0</v>
      </c>
      <c r="AW48" s="3"/>
      <c r="AX48" s="3">
        <v>0</v>
      </c>
      <c r="AY48" s="3"/>
      <c r="AZ48" s="3">
        <f t="shared" si="2"/>
        <v>15918501</v>
      </c>
      <c r="BA48" s="3"/>
      <c r="BB48" s="3">
        <v>343223</v>
      </c>
      <c r="BC48" s="3"/>
      <c r="BD48" s="3">
        <v>0</v>
      </c>
      <c r="BE48" s="3" t="s">
        <v>301</v>
      </c>
      <c r="BG48" s="16" t="s">
        <v>167</v>
      </c>
      <c r="BH48" s="3"/>
      <c r="BI48" s="3">
        <v>0</v>
      </c>
      <c r="BJ48" s="3"/>
      <c r="BK48" s="3">
        <v>0</v>
      </c>
      <c r="BL48" s="3"/>
      <c r="BM48" s="3">
        <f t="shared" si="3"/>
        <v>16261724</v>
      </c>
      <c r="BN48" s="3"/>
      <c r="BO48" s="3">
        <f>GenRev!AS48-BM48</f>
        <v>-1956747</v>
      </c>
      <c r="BP48" s="3"/>
      <c r="BQ48" s="3">
        <v>9645046</v>
      </c>
      <c r="BR48" s="3"/>
      <c r="BS48" s="3">
        <v>0</v>
      </c>
      <c r="BT48" s="3"/>
      <c r="BU48" s="3">
        <f t="shared" si="4"/>
        <v>7688299</v>
      </c>
      <c r="BV48" s="3"/>
      <c r="BW48" s="17">
        <f>+BU48-GenBS!AC48</f>
        <v>0</v>
      </c>
    </row>
    <row r="49" spans="1:75" s="16" customFormat="1" ht="12">
      <c r="A49" s="3" t="s">
        <v>302</v>
      </c>
      <c r="B49" s="3"/>
      <c r="C49" s="3" t="s">
        <v>223</v>
      </c>
      <c r="D49" s="3"/>
      <c r="E49" s="3">
        <v>63495</v>
      </c>
      <c r="F49" s="3"/>
      <c r="G49" s="3">
        <v>334374</v>
      </c>
      <c r="H49" s="3"/>
      <c r="I49" s="3">
        <v>240238</v>
      </c>
      <c r="J49" s="3"/>
      <c r="K49" s="3">
        <v>3088932</v>
      </c>
      <c r="L49" s="3"/>
      <c r="M49" s="3">
        <f>14616+3468</f>
        <v>18084</v>
      </c>
      <c r="N49" s="3"/>
      <c r="O49" s="3">
        <v>168491</v>
      </c>
      <c r="P49" s="3"/>
      <c r="Q49" s="3">
        <v>76403</v>
      </c>
      <c r="R49" s="3"/>
      <c r="S49" s="3">
        <v>23509</v>
      </c>
      <c r="T49" s="3"/>
      <c r="U49" s="3">
        <v>846186</v>
      </c>
      <c r="V49" s="3"/>
      <c r="W49" s="3">
        <v>390016</v>
      </c>
      <c r="X49" s="3"/>
      <c r="Y49" s="3">
        <v>0</v>
      </c>
      <c r="Z49" s="3"/>
      <c r="AA49" s="3">
        <v>385835</v>
      </c>
      <c r="AC49" s="3">
        <v>42284</v>
      </c>
      <c r="AD49" s="3" t="s">
        <v>302</v>
      </c>
      <c r="AF49" s="16" t="s">
        <v>223</v>
      </c>
      <c r="AG49" s="3"/>
      <c r="AH49" s="3">
        <v>86190</v>
      </c>
      <c r="AI49" s="3"/>
      <c r="AJ49" s="3">
        <v>0</v>
      </c>
      <c r="AK49" s="3"/>
      <c r="AL49" s="3">
        <v>0</v>
      </c>
      <c r="AM49" s="3"/>
      <c r="AN49" s="3">
        <v>0</v>
      </c>
      <c r="AO49" s="3"/>
      <c r="AP49" s="3">
        <v>4033</v>
      </c>
      <c r="AQ49" s="3"/>
      <c r="AR49" s="3">
        <v>732663</v>
      </c>
      <c r="AS49" s="3"/>
      <c r="AT49" s="3">
        <v>0</v>
      </c>
      <c r="AU49" s="3"/>
      <c r="AV49" s="3">
        <v>0</v>
      </c>
      <c r="AW49" s="3"/>
      <c r="AX49" s="3">
        <v>0</v>
      </c>
      <c r="AY49" s="3"/>
      <c r="AZ49" s="3">
        <f t="shared" si="2"/>
        <v>6437238</v>
      </c>
      <c r="BA49" s="3"/>
      <c r="BB49" s="3">
        <v>187819</v>
      </c>
      <c r="BC49" s="3"/>
      <c r="BD49" s="3">
        <v>0</v>
      </c>
      <c r="BE49" s="3" t="s">
        <v>302</v>
      </c>
      <c r="BG49" s="16" t="s">
        <v>223</v>
      </c>
      <c r="BH49" s="3"/>
      <c r="BI49" s="3">
        <v>0</v>
      </c>
      <c r="BJ49" s="3"/>
      <c r="BK49" s="3">
        <v>0</v>
      </c>
      <c r="BL49" s="3"/>
      <c r="BM49" s="3">
        <f t="shared" si="3"/>
        <v>6625057</v>
      </c>
      <c r="BN49" s="3"/>
      <c r="BO49" s="3">
        <f>GenRev!AS49-BM49</f>
        <v>238313</v>
      </c>
      <c r="BP49" s="3"/>
      <c r="BQ49" s="3">
        <v>9776163</v>
      </c>
      <c r="BR49" s="3"/>
      <c r="BS49" s="3">
        <v>0</v>
      </c>
      <c r="BT49" s="3"/>
      <c r="BU49" s="3">
        <f t="shared" si="4"/>
        <v>10014476</v>
      </c>
      <c r="BV49" s="3"/>
      <c r="BW49" s="17">
        <f>+BU49-GenBS!AC49</f>
        <v>0</v>
      </c>
    </row>
    <row r="50" spans="1:75" s="16" customFormat="1" ht="12">
      <c r="A50" s="3" t="s">
        <v>303</v>
      </c>
      <c r="B50" s="3"/>
      <c r="C50" s="3" t="s">
        <v>217</v>
      </c>
      <c r="D50" s="3"/>
      <c r="E50" s="3">
        <v>51490</v>
      </c>
      <c r="F50" s="3"/>
      <c r="G50" s="3">
        <v>0</v>
      </c>
      <c r="H50" s="3"/>
      <c r="I50" s="3">
        <v>182409</v>
      </c>
      <c r="J50" s="3"/>
      <c r="K50" s="3">
        <v>3518600</v>
      </c>
      <c r="L50" s="3"/>
      <c r="M50" s="3">
        <v>0</v>
      </c>
      <c r="N50" s="3"/>
      <c r="O50" s="3">
        <v>283626</v>
      </c>
      <c r="P50" s="3"/>
      <c r="Q50" s="3">
        <v>383442</v>
      </c>
      <c r="R50" s="3"/>
      <c r="S50" s="3">
        <v>12913</v>
      </c>
      <c r="T50" s="3"/>
      <c r="U50" s="3">
        <v>720149</v>
      </c>
      <c r="V50" s="3"/>
      <c r="W50" s="3">
        <v>353634</v>
      </c>
      <c r="X50" s="3"/>
      <c r="Y50" s="3">
        <v>0</v>
      </c>
      <c r="Z50" s="3"/>
      <c r="AA50" s="3">
        <v>1022534</v>
      </c>
      <c r="AC50" s="3">
        <v>16755</v>
      </c>
      <c r="AD50" s="3" t="s">
        <v>303</v>
      </c>
      <c r="AF50" s="16" t="s">
        <v>217</v>
      </c>
      <c r="AG50" s="3"/>
      <c r="AH50" s="3">
        <v>113294</v>
      </c>
      <c r="AI50" s="3"/>
      <c r="AJ50" s="3">
        <v>0</v>
      </c>
      <c r="AK50" s="3"/>
      <c r="AL50" s="3">
        <v>0</v>
      </c>
      <c r="AM50" s="3"/>
      <c r="AN50" s="3">
        <v>0</v>
      </c>
      <c r="AO50" s="3"/>
      <c r="AP50" s="3">
        <v>35468</v>
      </c>
      <c r="AQ50" s="3"/>
      <c r="AR50" s="3">
        <v>0</v>
      </c>
      <c r="AS50" s="3"/>
      <c r="AT50" s="3">
        <v>0</v>
      </c>
      <c r="AU50" s="3"/>
      <c r="AV50" s="3">
        <v>0</v>
      </c>
      <c r="AW50" s="3"/>
      <c r="AX50" s="3">
        <v>0</v>
      </c>
      <c r="AY50" s="3"/>
      <c r="AZ50" s="3">
        <f t="shared" si="2"/>
        <v>6642824</v>
      </c>
      <c r="BA50" s="3"/>
      <c r="BB50" s="3">
        <v>30000</v>
      </c>
      <c r="BC50" s="3"/>
      <c r="BD50" s="3">
        <v>0</v>
      </c>
      <c r="BE50" s="3" t="s">
        <v>303</v>
      </c>
      <c r="BG50" s="16" t="s">
        <v>217</v>
      </c>
      <c r="BH50" s="3"/>
      <c r="BI50" s="3">
        <v>0</v>
      </c>
      <c r="BJ50" s="3"/>
      <c r="BK50" s="3">
        <v>0</v>
      </c>
      <c r="BL50" s="3"/>
      <c r="BM50" s="3">
        <f t="shared" si="3"/>
        <v>6672824</v>
      </c>
      <c r="BN50" s="3"/>
      <c r="BO50" s="3">
        <f>GenRev!AS50-BM50</f>
        <v>-69310</v>
      </c>
      <c r="BP50" s="3"/>
      <c r="BQ50" s="3">
        <v>2530616</v>
      </c>
      <c r="BR50" s="3"/>
      <c r="BS50" s="3">
        <v>0</v>
      </c>
      <c r="BT50" s="3"/>
      <c r="BU50" s="3">
        <f t="shared" si="4"/>
        <v>2461306</v>
      </c>
      <c r="BV50" s="3"/>
      <c r="BW50" s="17">
        <f>+BU50-GenBS!AC50</f>
        <v>0</v>
      </c>
    </row>
    <row r="51" spans="1:75" s="16" customFormat="1" ht="12">
      <c r="A51" s="3" t="s">
        <v>238</v>
      </c>
      <c r="B51" s="3"/>
      <c r="C51" s="3" t="s">
        <v>158</v>
      </c>
      <c r="D51" s="3"/>
      <c r="E51" s="3">
        <v>50799</v>
      </c>
      <c r="F51" s="3"/>
      <c r="G51" s="3">
        <v>183210</v>
      </c>
      <c r="H51" s="3"/>
      <c r="I51" s="3">
        <v>0</v>
      </c>
      <c r="J51" s="3"/>
      <c r="K51" s="3">
        <v>3236418</v>
      </c>
      <c r="L51" s="3"/>
      <c r="M51" s="3">
        <v>0</v>
      </c>
      <c r="N51" s="3"/>
      <c r="O51" s="3">
        <v>308303</v>
      </c>
      <c r="P51" s="3"/>
      <c r="Q51" s="3">
        <v>190676</v>
      </c>
      <c r="R51" s="3"/>
      <c r="S51" s="3">
        <v>39025</v>
      </c>
      <c r="T51" s="3"/>
      <c r="U51" s="3">
        <v>496896</v>
      </c>
      <c r="V51" s="3"/>
      <c r="W51" s="3">
        <v>370578</v>
      </c>
      <c r="X51" s="3"/>
      <c r="Y51" s="3">
        <v>105</v>
      </c>
      <c r="Z51" s="3"/>
      <c r="AA51" s="3">
        <v>459862</v>
      </c>
      <c r="AC51" s="3">
        <v>36857</v>
      </c>
      <c r="AD51" s="3" t="s">
        <v>238</v>
      </c>
      <c r="AF51" s="16" t="s">
        <v>158</v>
      </c>
      <c r="AG51" s="3"/>
      <c r="AH51" s="3">
        <v>41027</v>
      </c>
      <c r="AI51" s="3"/>
      <c r="AJ51" s="3">
        <v>0</v>
      </c>
      <c r="AK51" s="3"/>
      <c r="AL51" s="3">
        <v>245</v>
      </c>
      <c r="AM51" s="3"/>
      <c r="AN51" s="3">
        <v>0</v>
      </c>
      <c r="AO51" s="3"/>
      <c r="AP51" s="3">
        <v>10728</v>
      </c>
      <c r="AQ51" s="3"/>
      <c r="AR51" s="3">
        <v>665</v>
      </c>
      <c r="AS51" s="3"/>
      <c r="AT51" s="3">
        <v>0</v>
      </c>
      <c r="AU51" s="3"/>
      <c r="AV51" s="3">
        <v>0</v>
      </c>
      <c r="AW51" s="3"/>
      <c r="AX51" s="3">
        <v>0</v>
      </c>
      <c r="AY51" s="3"/>
      <c r="AZ51" s="3">
        <f t="shared" si="2"/>
        <v>5374595</v>
      </c>
      <c r="BA51" s="3"/>
      <c r="BB51" s="3">
        <v>183815</v>
      </c>
      <c r="BC51" s="3"/>
      <c r="BD51" s="3">
        <v>0</v>
      </c>
      <c r="BE51" s="3" t="s">
        <v>238</v>
      </c>
      <c r="BG51" s="16" t="s">
        <v>158</v>
      </c>
      <c r="BH51" s="3"/>
      <c r="BI51" s="3">
        <v>0</v>
      </c>
      <c r="BJ51" s="3"/>
      <c r="BK51" s="3">
        <v>0</v>
      </c>
      <c r="BL51" s="3"/>
      <c r="BM51" s="3">
        <f t="shared" si="3"/>
        <v>5558410</v>
      </c>
      <c r="BN51" s="3"/>
      <c r="BO51" s="3">
        <f>GenRev!AS51-BM51</f>
        <v>-258926</v>
      </c>
      <c r="BP51" s="3"/>
      <c r="BQ51" s="3">
        <v>3156155</v>
      </c>
      <c r="BR51" s="3"/>
      <c r="BS51" s="3">
        <v>0</v>
      </c>
      <c r="BT51" s="3"/>
      <c r="BU51" s="3">
        <f t="shared" si="4"/>
        <v>2897229</v>
      </c>
      <c r="BV51" s="3"/>
      <c r="BW51" s="17">
        <f>+BU51-GenBS!AC51</f>
        <v>0</v>
      </c>
    </row>
    <row r="52" spans="1:75" s="16" customFormat="1" ht="12">
      <c r="A52" s="3" t="s">
        <v>336</v>
      </c>
      <c r="B52" s="3"/>
      <c r="C52" s="3" t="s">
        <v>161</v>
      </c>
      <c r="D52" s="3"/>
      <c r="E52" s="3">
        <v>51532</v>
      </c>
      <c r="F52" s="3"/>
      <c r="G52" s="3">
        <v>0</v>
      </c>
      <c r="H52" s="3"/>
      <c r="I52" s="3">
        <v>716121</v>
      </c>
      <c r="J52" s="3"/>
      <c r="K52" s="3">
        <v>5224605</v>
      </c>
      <c r="L52" s="3"/>
      <c r="M52" s="3">
        <v>0</v>
      </c>
      <c r="N52" s="3"/>
      <c r="O52" s="3">
        <v>738926</v>
      </c>
      <c r="P52" s="3"/>
      <c r="Q52" s="3">
        <v>521502</v>
      </c>
      <c r="R52" s="3"/>
      <c r="S52" s="3">
        <v>59415</v>
      </c>
      <c r="T52" s="3"/>
      <c r="U52" s="3">
        <v>731620</v>
      </c>
      <c r="V52" s="3"/>
      <c r="W52" s="3">
        <v>528700</v>
      </c>
      <c r="X52" s="3"/>
      <c r="Y52" s="3">
        <v>129494</v>
      </c>
      <c r="Z52" s="3"/>
      <c r="AA52" s="3">
        <v>1197438</v>
      </c>
      <c r="AC52" s="3">
        <v>38927</v>
      </c>
      <c r="AD52" s="3" t="s">
        <v>336</v>
      </c>
      <c r="AF52" s="16" t="s">
        <v>161</v>
      </c>
      <c r="AG52" s="3"/>
      <c r="AH52" s="3">
        <v>15305</v>
      </c>
      <c r="AI52" s="3"/>
      <c r="AJ52" s="3">
        <v>0</v>
      </c>
      <c r="AK52" s="3"/>
      <c r="AL52" s="3">
        <v>0</v>
      </c>
      <c r="AM52" s="3"/>
      <c r="AN52" s="3">
        <v>0</v>
      </c>
      <c r="AO52" s="3"/>
      <c r="AP52" s="3">
        <v>17333</v>
      </c>
      <c r="AQ52" s="3"/>
      <c r="AR52" s="3">
        <v>0</v>
      </c>
      <c r="AS52" s="3"/>
      <c r="AT52" s="3">
        <v>0</v>
      </c>
      <c r="AU52" s="3"/>
      <c r="AV52" s="3">
        <v>391931</v>
      </c>
      <c r="AW52" s="3"/>
      <c r="AX52" s="3">
        <v>157138</v>
      </c>
      <c r="AY52" s="3"/>
      <c r="AZ52" s="3">
        <f t="shared" si="2"/>
        <v>10468455</v>
      </c>
      <c r="BA52" s="3"/>
      <c r="BB52" s="3">
        <v>150303</v>
      </c>
      <c r="BC52" s="3"/>
      <c r="BD52" s="3">
        <v>0</v>
      </c>
      <c r="BE52" s="3" t="s">
        <v>336</v>
      </c>
      <c r="BG52" s="16" t="s">
        <v>161</v>
      </c>
      <c r="BH52" s="3"/>
      <c r="BI52" s="3">
        <v>0</v>
      </c>
      <c r="BJ52" s="3"/>
      <c r="BK52" s="3">
        <v>0</v>
      </c>
      <c r="BL52" s="3"/>
      <c r="BM52" s="3">
        <f t="shared" si="3"/>
        <v>10618758</v>
      </c>
      <c r="BN52" s="3"/>
      <c r="BO52" s="3">
        <f>GenRev!AS52-BM52</f>
        <v>1132331</v>
      </c>
      <c r="BP52" s="3"/>
      <c r="BQ52" s="3">
        <v>6187677</v>
      </c>
      <c r="BR52" s="3"/>
      <c r="BS52" s="3">
        <v>0</v>
      </c>
      <c r="BT52" s="3"/>
      <c r="BU52" s="3">
        <f t="shared" si="4"/>
        <v>7320008</v>
      </c>
      <c r="BV52" s="3"/>
      <c r="BW52" s="17">
        <f>+BU52-GenBS!AC52</f>
        <v>0</v>
      </c>
    </row>
    <row r="53" spans="1:75" s="16" customFormat="1" ht="12">
      <c r="A53" s="3" t="s">
        <v>255</v>
      </c>
      <c r="B53" s="3"/>
      <c r="C53" s="3" t="s">
        <v>221</v>
      </c>
      <c r="D53" s="3"/>
      <c r="E53" s="3">
        <v>62026</v>
      </c>
      <c r="F53" s="3"/>
      <c r="G53" s="3">
        <v>794569</v>
      </c>
      <c r="H53" s="3"/>
      <c r="I53" s="3">
        <v>48527</v>
      </c>
      <c r="J53" s="3"/>
      <c r="K53" s="3">
        <v>3311440</v>
      </c>
      <c r="L53" s="3"/>
      <c r="M53" s="3">
        <v>237</v>
      </c>
      <c r="N53" s="3"/>
      <c r="O53" s="3">
        <v>1043917</v>
      </c>
      <c r="P53" s="3"/>
      <c r="Q53" s="3">
        <v>469813</v>
      </c>
      <c r="R53" s="3"/>
      <c r="S53" s="3">
        <v>16537</v>
      </c>
      <c r="T53" s="3"/>
      <c r="U53" s="3">
        <v>291673</v>
      </c>
      <c r="V53" s="3"/>
      <c r="W53" s="3">
        <v>254438</v>
      </c>
      <c r="X53" s="3"/>
      <c r="Y53" s="3">
        <v>35696</v>
      </c>
      <c r="Z53" s="3"/>
      <c r="AA53" s="3">
        <v>885506</v>
      </c>
      <c r="AC53" s="3">
        <v>0</v>
      </c>
      <c r="AD53" s="3" t="s">
        <v>255</v>
      </c>
      <c r="AF53" s="16" t="s">
        <v>221</v>
      </c>
      <c r="AG53" s="3"/>
      <c r="AH53" s="3">
        <v>122370</v>
      </c>
      <c r="AI53" s="3"/>
      <c r="AJ53" s="3">
        <v>0</v>
      </c>
      <c r="AK53" s="3"/>
      <c r="AL53" s="3">
        <v>0</v>
      </c>
      <c r="AM53" s="3"/>
      <c r="AN53" s="3">
        <v>833</v>
      </c>
      <c r="AO53" s="3"/>
      <c r="AP53" s="3">
        <v>44954</v>
      </c>
      <c r="AQ53" s="3"/>
      <c r="AR53" s="3">
        <v>72</v>
      </c>
      <c r="AS53" s="3"/>
      <c r="AT53" s="3">
        <v>0</v>
      </c>
      <c r="AU53" s="3"/>
      <c r="AV53" s="3">
        <v>0</v>
      </c>
      <c r="AW53" s="3"/>
      <c r="AX53" s="3">
        <v>0</v>
      </c>
      <c r="AY53" s="3"/>
      <c r="AZ53" s="3">
        <f t="shared" si="2"/>
        <v>7320582</v>
      </c>
      <c r="BA53" s="3"/>
      <c r="BB53" s="3">
        <v>0</v>
      </c>
      <c r="BC53" s="3"/>
      <c r="BD53" s="3">
        <v>0</v>
      </c>
      <c r="BE53" s="3" t="s">
        <v>255</v>
      </c>
      <c r="BG53" s="16" t="s">
        <v>221</v>
      </c>
      <c r="BH53" s="3"/>
      <c r="BI53" s="3">
        <v>0</v>
      </c>
      <c r="BJ53" s="3"/>
      <c r="BK53" s="3">
        <v>0</v>
      </c>
      <c r="BL53" s="3"/>
      <c r="BM53" s="3">
        <f t="shared" si="3"/>
        <v>7320582</v>
      </c>
      <c r="BN53" s="3"/>
      <c r="BO53" s="3">
        <f>GenRev!AS53-BM53</f>
        <v>107299</v>
      </c>
      <c r="BP53" s="3"/>
      <c r="BQ53" s="3">
        <v>9417003</v>
      </c>
      <c r="BR53" s="3"/>
      <c r="BS53" s="3">
        <v>0</v>
      </c>
      <c r="BT53" s="3"/>
      <c r="BU53" s="3">
        <f t="shared" si="4"/>
        <v>9524302</v>
      </c>
      <c r="BV53" s="3"/>
      <c r="BW53" s="17">
        <f>+BU53-GenBS!AC53</f>
        <v>0</v>
      </c>
    </row>
    <row r="54" spans="1:75" s="16" customFormat="1" ht="12">
      <c r="A54" s="3" t="s">
        <v>341</v>
      </c>
      <c r="B54" s="3"/>
      <c r="C54" s="3" t="s">
        <v>248</v>
      </c>
      <c r="D54" s="3"/>
      <c r="E54" s="3"/>
      <c r="F54" s="3"/>
      <c r="G54" s="3">
        <v>1624091</v>
      </c>
      <c r="H54" s="3"/>
      <c r="I54" s="3">
        <v>645181</v>
      </c>
      <c r="J54" s="3"/>
      <c r="K54" s="3">
        <v>3786524</v>
      </c>
      <c r="L54" s="3"/>
      <c r="M54" s="3">
        <v>136696</v>
      </c>
      <c r="N54" s="3"/>
      <c r="O54" s="3">
        <v>1042631</v>
      </c>
      <c r="P54" s="3"/>
      <c r="Q54" s="3">
        <v>1078354</v>
      </c>
      <c r="R54" s="3"/>
      <c r="S54" s="3">
        <v>70463</v>
      </c>
      <c r="T54" s="3"/>
      <c r="U54" s="3">
        <v>816095</v>
      </c>
      <c r="V54" s="3"/>
      <c r="W54" s="3">
        <v>381053</v>
      </c>
      <c r="X54" s="3"/>
      <c r="Y54" s="3">
        <v>0</v>
      </c>
      <c r="Z54" s="3"/>
      <c r="AA54" s="3">
        <v>1470749</v>
      </c>
      <c r="AC54" s="3">
        <v>21044</v>
      </c>
      <c r="AD54" s="3" t="s">
        <v>341</v>
      </c>
      <c r="AF54" s="16" t="s">
        <v>248</v>
      </c>
      <c r="AG54" s="3"/>
      <c r="AH54" s="3">
        <v>30602</v>
      </c>
      <c r="AI54" s="3"/>
      <c r="AJ54" s="3">
        <v>0</v>
      </c>
      <c r="AK54" s="3"/>
      <c r="AL54" s="3">
        <v>0</v>
      </c>
      <c r="AM54" s="3"/>
      <c r="AN54" s="3">
        <v>0</v>
      </c>
      <c r="AO54" s="3"/>
      <c r="AP54" s="3">
        <v>38205</v>
      </c>
      <c r="AQ54" s="3"/>
      <c r="AR54" s="3">
        <v>4051</v>
      </c>
      <c r="AS54" s="3"/>
      <c r="AT54" s="3">
        <v>0</v>
      </c>
      <c r="AU54" s="3"/>
      <c r="AV54" s="3">
        <v>19500</v>
      </c>
      <c r="AW54" s="3"/>
      <c r="AX54" s="3">
        <v>5443</v>
      </c>
      <c r="AY54" s="3"/>
      <c r="AZ54" s="3">
        <f t="shared" si="2"/>
        <v>11170682</v>
      </c>
      <c r="BA54" s="3"/>
      <c r="BB54" s="3">
        <v>998225</v>
      </c>
      <c r="BC54" s="3"/>
      <c r="BD54" s="3">
        <v>0</v>
      </c>
      <c r="BE54" s="3" t="s">
        <v>341</v>
      </c>
      <c r="BG54" s="16" t="s">
        <v>248</v>
      </c>
      <c r="BH54" s="3"/>
      <c r="BI54" s="3">
        <v>0</v>
      </c>
      <c r="BJ54" s="3"/>
      <c r="BK54" s="3">
        <v>0</v>
      </c>
      <c r="BL54" s="3"/>
      <c r="BM54" s="3">
        <f t="shared" si="3"/>
        <v>12168907</v>
      </c>
      <c r="BN54" s="3"/>
      <c r="BO54" s="3">
        <f>GenRev!AS54-BM54</f>
        <v>-592699</v>
      </c>
      <c r="BP54" s="3"/>
      <c r="BQ54" s="3">
        <v>8123933</v>
      </c>
      <c r="BR54" s="3"/>
      <c r="BS54" s="3">
        <v>0</v>
      </c>
      <c r="BT54" s="3"/>
      <c r="BU54" s="3">
        <f t="shared" si="4"/>
        <v>7531234</v>
      </c>
      <c r="BV54" s="3"/>
      <c r="BW54" s="17">
        <f>+BU54-GenBS!AC54</f>
        <v>0</v>
      </c>
    </row>
    <row r="55" spans="1:75" s="16" customFormat="1" ht="12">
      <c r="A55" s="3" t="s">
        <v>388</v>
      </c>
      <c r="B55" s="3"/>
      <c r="C55" s="3" t="s">
        <v>153</v>
      </c>
      <c r="D55" s="3"/>
      <c r="E55" s="3">
        <v>51607</v>
      </c>
      <c r="F55" s="3"/>
      <c r="G55" s="3">
        <v>349233</v>
      </c>
      <c r="H55" s="3"/>
      <c r="I55" s="3">
        <v>0</v>
      </c>
      <c r="J55" s="3"/>
      <c r="K55" s="3">
        <v>4003808</v>
      </c>
      <c r="L55" s="3"/>
      <c r="M55" s="3">
        <v>0</v>
      </c>
      <c r="N55" s="3"/>
      <c r="O55" s="3">
        <v>381547</v>
      </c>
      <c r="P55" s="3"/>
      <c r="Q55" s="3">
        <v>83901</v>
      </c>
      <c r="R55" s="3"/>
      <c r="S55" s="3">
        <v>103085</v>
      </c>
      <c r="T55" s="3"/>
      <c r="U55" s="3">
        <v>765294</v>
      </c>
      <c r="V55" s="3"/>
      <c r="W55" s="3">
        <v>468799</v>
      </c>
      <c r="X55" s="3"/>
      <c r="Y55" s="3">
        <v>58470</v>
      </c>
      <c r="Z55" s="3"/>
      <c r="AA55" s="3">
        <v>898640</v>
      </c>
      <c r="AC55" s="3">
        <v>1248</v>
      </c>
      <c r="AD55" s="3" t="s">
        <v>388</v>
      </c>
      <c r="AF55" s="16" t="s">
        <v>153</v>
      </c>
      <c r="AG55" s="3"/>
      <c r="AH55" s="3">
        <v>37964</v>
      </c>
      <c r="AI55" s="3"/>
      <c r="AJ55" s="3">
        <v>0</v>
      </c>
      <c r="AK55" s="3"/>
      <c r="AL55" s="3">
        <v>0</v>
      </c>
      <c r="AM55" s="3"/>
      <c r="AN55" s="3">
        <v>0</v>
      </c>
      <c r="AO55" s="3"/>
      <c r="AP55" s="3">
        <v>10535</v>
      </c>
      <c r="AQ55" s="3"/>
      <c r="AR55" s="3">
        <v>0</v>
      </c>
      <c r="AS55" s="3"/>
      <c r="AT55" s="3">
        <v>0</v>
      </c>
      <c r="AU55" s="3"/>
      <c r="AV55" s="3">
        <v>0</v>
      </c>
      <c r="AW55" s="3"/>
      <c r="AX55" s="3">
        <v>0</v>
      </c>
      <c r="AY55" s="3"/>
      <c r="AZ55" s="3">
        <f t="shared" si="2"/>
        <v>7162524</v>
      </c>
      <c r="BA55" s="3"/>
      <c r="BB55" s="3">
        <v>228500</v>
      </c>
      <c r="BC55" s="3"/>
      <c r="BD55" s="3">
        <v>0</v>
      </c>
      <c r="BE55" s="3" t="s">
        <v>388</v>
      </c>
      <c r="BG55" s="16" t="s">
        <v>153</v>
      </c>
      <c r="BH55" s="3"/>
      <c r="BI55" s="3">
        <v>0</v>
      </c>
      <c r="BJ55" s="3"/>
      <c r="BK55" s="3">
        <v>0</v>
      </c>
      <c r="BL55" s="3"/>
      <c r="BM55" s="3">
        <f t="shared" si="3"/>
        <v>7391024</v>
      </c>
      <c r="BN55" s="3"/>
      <c r="BO55" s="3">
        <f>GenRev!AS55-BM55</f>
        <v>-947</v>
      </c>
      <c r="BP55" s="3"/>
      <c r="BQ55" s="3">
        <v>2196689</v>
      </c>
      <c r="BR55" s="3"/>
      <c r="BS55" s="3">
        <v>0</v>
      </c>
      <c r="BT55" s="3"/>
      <c r="BU55" s="3">
        <f t="shared" si="4"/>
        <v>2195742</v>
      </c>
      <c r="BV55" s="3"/>
      <c r="BW55" s="17">
        <f>+BU55-GenBS!AC55</f>
        <v>0</v>
      </c>
    </row>
    <row r="56" spans="1:75" s="16" customFormat="1" ht="12">
      <c r="A56" s="3" t="s">
        <v>250</v>
      </c>
      <c r="B56" s="3"/>
      <c r="C56" s="3" t="s">
        <v>251</v>
      </c>
      <c r="D56" s="3"/>
      <c r="E56" s="3">
        <v>65268</v>
      </c>
      <c r="F56" s="3"/>
      <c r="G56" s="3">
        <v>246482</v>
      </c>
      <c r="H56" s="3"/>
      <c r="I56" s="3">
        <v>0</v>
      </c>
      <c r="J56" s="3"/>
      <c r="K56" s="3">
        <v>5402244</v>
      </c>
      <c r="L56" s="3"/>
      <c r="M56" s="3">
        <v>0</v>
      </c>
      <c r="N56" s="3"/>
      <c r="O56" s="3">
        <v>674039</v>
      </c>
      <c r="P56" s="3"/>
      <c r="Q56" s="3">
        <v>180481</v>
      </c>
      <c r="R56" s="3"/>
      <c r="S56" s="3">
        <v>312788</v>
      </c>
      <c r="T56" s="3"/>
      <c r="U56" s="3">
        <v>755886</v>
      </c>
      <c r="V56" s="3"/>
      <c r="W56" s="3">
        <v>389574</v>
      </c>
      <c r="X56" s="3"/>
      <c r="Y56" s="3">
        <v>237873</v>
      </c>
      <c r="Z56" s="3"/>
      <c r="AA56" s="3">
        <v>797460</v>
      </c>
      <c r="AC56" s="3">
        <v>8643</v>
      </c>
      <c r="AD56" s="3" t="s">
        <v>250</v>
      </c>
      <c r="AF56" s="16" t="s">
        <v>251</v>
      </c>
      <c r="AG56" s="3"/>
      <c r="AH56" s="3">
        <v>122237</v>
      </c>
      <c r="AI56" s="3"/>
      <c r="AJ56" s="3">
        <v>0</v>
      </c>
      <c r="AK56" s="3"/>
      <c r="AL56" s="3">
        <v>0</v>
      </c>
      <c r="AM56" s="3"/>
      <c r="AN56" s="3">
        <v>38769</v>
      </c>
      <c r="AO56" s="3"/>
      <c r="AP56" s="3">
        <v>25582</v>
      </c>
      <c r="AQ56" s="3"/>
      <c r="AR56" s="3">
        <v>64304</v>
      </c>
      <c r="AS56" s="3"/>
      <c r="AT56" s="3">
        <v>0</v>
      </c>
      <c r="AU56" s="3"/>
      <c r="AV56" s="3">
        <v>22512</v>
      </c>
      <c r="AW56" s="3"/>
      <c r="AX56" s="3">
        <v>3825</v>
      </c>
      <c r="AY56" s="3"/>
      <c r="AZ56" s="3">
        <f t="shared" si="2"/>
        <v>9282699</v>
      </c>
      <c r="BA56" s="3"/>
      <c r="BB56" s="3">
        <v>131008</v>
      </c>
      <c r="BC56" s="3"/>
      <c r="BD56" s="3">
        <v>0</v>
      </c>
      <c r="BE56" s="3" t="s">
        <v>250</v>
      </c>
      <c r="BG56" s="16" t="s">
        <v>251</v>
      </c>
      <c r="BH56" s="3"/>
      <c r="BI56" s="3">
        <v>0</v>
      </c>
      <c r="BJ56" s="3"/>
      <c r="BK56" s="3">
        <v>0</v>
      </c>
      <c r="BL56" s="3"/>
      <c r="BM56" s="3">
        <f t="shared" si="3"/>
        <v>9413707</v>
      </c>
      <c r="BN56" s="3"/>
      <c r="BO56" s="3">
        <f>GenRev!AS56-BM56</f>
        <v>1369499</v>
      </c>
      <c r="BP56" s="3"/>
      <c r="BQ56" s="3">
        <v>1890486</v>
      </c>
      <c r="BR56" s="3"/>
      <c r="BS56" s="3">
        <v>0</v>
      </c>
      <c r="BT56" s="3"/>
      <c r="BU56" s="3">
        <f t="shared" si="4"/>
        <v>3259985</v>
      </c>
      <c r="BV56" s="3"/>
      <c r="BW56" s="17">
        <f>+BU56-GenBS!AC56</f>
        <v>0</v>
      </c>
    </row>
    <row r="57" spans="1:75" s="16" customFormat="1" ht="12">
      <c r="A57" s="3" t="s">
        <v>304</v>
      </c>
      <c r="B57" s="3"/>
      <c r="C57" s="3" t="s">
        <v>225</v>
      </c>
      <c r="D57" s="3"/>
      <c r="E57" s="3">
        <v>51631</v>
      </c>
      <c r="F57" s="3"/>
      <c r="G57" s="3">
        <v>1788863</v>
      </c>
      <c r="H57" s="3"/>
      <c r="I57" s="3">
        <v>627303</v>
      </c>
      <c r="J57" s="3"/>
      <c r="K57" s="3">
        <v>4623305</v>
      </c>
      <c r="L57" s="3"/>
      <c r="M57" s="3">
        <v>0</v>
      </c>
      <c r="N57" s="3"/>
      <c r="O57" s="3">
        <v>1131407</v>
      </c>
      <c r="P57" s="3"/>
      <c r="Q57" s="3">
        <v>369524</v>
      </c>
      <c r="R57" s="3"/>
      <c r="S57" s="3">
        <v>68064</v>
      </c>
      <c r="T57" s="3"/>
      <c r="U57" s="3">
        <v>2022344</v>
      </c>
      <c r="V57" s="3"/>
      <c r="W57" s="3">
        <v>549747</v>
      </c>
      <c r="X57" s="3"/>
      <c r="Y57" s="3">
        <v>41286</v>
      </c>
      <c r="Z57" s="3"/>
      <c r="AA57" s="3">
        <v>1126929</v>
      </c>
      <c r="AC57" s="3">
        <v>172891</v>
      </c>
      <c r="AD57" s="3" t="s">
        <v>304</v>
      </c>
      <c r="AF57" s="16" t="s">
        <v>225</v>
      </c>
      <c r="AG57" s="3"/>
      <c r="AH57" s="3">
        <v>74762</v>
      </c>
      <c r="AI57" s="3"/>
      <c r="AJ57" s="3">
        <v>0</v>
      </c>
      <c r="AK57" s="3"/>
      <c r="AL57" s="3">
        <v>0</v>
      </c>
      <c r="AM57" s="3"/>
      <c r="AN57" s="3">
        <v>5439</v>
      </c>
      <c r="AO57" s="3"/>
      <c r="AP57" s="3">
        <v>104841</v>
      </c>
      <c r="AQ57" s="3"/>
      <c r="AR57" s="3">
        <v>0</v>
      </c>
      <c r="AS57" s="3"/>
      <c r="AT57" s="3">
        <v>0</v>
      </c>
      <c r="AU57" s="3"/>
      <c r="AV57" s="3">
        <v>151000</v>
      </c>
      <c r="AW57" s="3"/>
      <c r="AX57" s="3">
        <v>276181</v>
      </c>
      <c r="AY57" s="3"/>
      <c r="AZ57" s="3">
        <f t="shared" si="2"/>
        <v>13133886</v>
      </c>
      <c r="BA57" s="3"/>
      <c r="BB57" s="3">
        <v>509459</v>
      </c>
      <c r="BC57" s="3"/>
      <c r="BD57" s="3">
        <v>0</v>
      </c>
      <c r="BE57" s="3" t="s">
        <v>304</v>
      </c>
      <c r="BG57" s="16" t="s">
        <v>225</v>
      </c>
      <c r="BH57" s="3"/>
      <c r="BI57" s="3">
        <v>0</v>
      </c>
      <c r="BJ57" s="3"/>
      <c r="BK57" s="3">
        <v>0</v>
      </c>
      <c r="BL57" s="3"/>
      <c r="BM57" s="3">
        <f t="shared" si="3"/>
        <v>13643345</v>
      </c>
      <c r="BN57" s="3"/>
      <c r="BO57" s="3">
        <f>GenRev!AS57-BM57</f>
        <v>-276217</v>
      </c>
      <c r="BP57" s="3"/>
      <c r="BQ57" s="3">
        <v>9177643</v>
      </c>
      <c r="BR57" s="3"/>
      <c r="BS57" s="3">
        <v>0</v>
      </c>
      <c r="BT57" s="3"/>
      <c r="BU57" s="3">
        <f t="shared" si="4"/>
        <v>8901426</v>
      </c>
      <c r="BV57" s="3"/>
      <c r="BW57" s="17">
        <f>+BU57-GenBS!AC57</f>
        <v>0</v>
      </c>
    </row>
    <row r="58" spans="1:75" s="16" customFormat="1" ht="12">
      <c r="A58" s="3" t="s">
        <v>239</v>
      </c>
      <c r="B58" s="3"/>
      <c r="C58" s="3" t="s">
        <v>163</v>
      </c>
      <c r="D58" s="3"/>
      <c r="E58" s="3">
        <v>62802</v>
      </c>
      <c r="F58" s="3"/>
      <c r="G58" s="3">
        <v>280262</v>
      </c>
      <c r="H58" s="3"/>
      <c r="I58" s="3">
        <v>149678</v>
      </c>
      <c r="J58" s="3"/>
      <c r="K58" s="3">
        <v>3333430</v>
      </c>
      <c r="L58" s="3"/>
      <c r="M58" s="3">
        <v>44675</v>
      </c>
      <c r="N58" s="3"/>
      <c r="O58" s="3">
        <v>441000</v>
      </c>
      <c r="P58" s="3"/>
      <c r="Q58" s="3">
        <v>95452</v>
      </c>
      <c r="R58" s="3"/>
      <c r="S58" s="3">
        <v>68412</v>
      </c>
      <c r="T58" s="3"/>
      <c r="U58" s="3">
        <v>395953</v>
      </c>
      <c r="V58" s="3"/>
      <c r="W58" s="3">
        <v>448504</v>
      </c>
      <c r="X58" s="3"/>
      <c r="Y58" s="3">
        <v>646</v>
      </c>
      <c r="Z58" s="3"/>
      <c r="AA58" s="3">
        <v>686659</v>
      </c>
      <c r="AC58" s="3">
        <v>0</v>
      </c>
      <c r="AD58" s="3" t="s">
        <v>239</v>
      </c>
      <c r="AF58" s="16" t="s">
        <v>163</v>
      </c>
      <c r="AG58" s="3"/>
      <c r="AH58" s="3">
        <v>100409</v>
      </c>
      <c r="AI58" s="3"/>
      <c r="AJ58" s="3">
        <v>0</v>
      </c>
      <c r="AK58" s="3"/>
      <c r="AL58" s="3">
        <v>0</v>
      </c>
      <c r="AM58" s="3"/>
      <c r="AN58" s="3">
        <v>0</v>
      </c>
      <c r="AO58" s="3"/>
      <c r="AP58" s="3">
        <v>48195</v>
      </c>
      <c r="AQ58" s="3"/>
      <c r="AR58" s="3">
        <v>0</v>
      </c>
      <c r="AS58" s="3"/>
      <c r="AT58" s="3">
        <v>0</v>
      </c>
      <c r="AU58" s="3"/>
      <c r="AV58" s="3">
        <v>0</v>
      </c>
      <c r="AW58" s="3"/>
      <c r="AX58" s="3">
        <v>0</v>
      </c>
      <c r="AY58" s="3"/>
      <c r="AZ58" s="3">
        <f t="shared" si="2"/>
        <v>6093275</v>
      </c>
      <c r="BA58" s="3"/>
      <c r="BB58" s="3">
        <v>550000</v>
      </c>
      <c r="BC58" s="3"/>
      <c r="BD58" s="3">
        <v>0</v>
      </c>
      <c r="BE58" s="3" t="s">
        <v>239</v>
      </c>
      <c r="BG58" s="16" t="s">
        <v>163</v>
      </c>
      <c r="BH58" s="3"/>
      <c r="BI58" s="3">
        <v>0</v>
      </c>
      <c r="BJ58" s="3"/>
      <c r="BK58" s="3">
        <v>0</v>
      </c>
      <c r="BL58" s="3"/>
      <c r="BM58" s="3">
        <f t="shared" si="3"/>
        <v>6643275</v>
      </c>
      <c r="BN58" s="3"/>
      <c r="BO58" s="3">
        <f>GenRev!AS58-BM58</f>
        <v>1014380</v>
      </c>
      <c r="BP58" s="3"/>
      <c r="BQ58" s="3">
        <v>6734333</v>
      </c>
      <c r="BR58" s="3"/>
      <c r="BS58" s="3">
        <v>0</v>
      </c>
      <c r="BT58" s="3"/>
      <c r="BU58" s="3">
        <f t="shared" si="4"/>
        <v>7748713</v>
      </c>
      <c r="BV58" s="3"/>
      <c r="BW58" s="17">
        <f>+BU58-GenBS!AC58</f>
        <v>0</v>
      </c>
    </row>
    <row r="59" spans="1:75" s="16" customFormat="1" ht="12">
      <c r="A59" s="3" t="s">
        <v>253</v>
      </c>
      <c r="B59" s="3"/>
      <c r="C59" s="3" t="s">
        <v>197</v>
      </c>
      <c r="D59" s="3"/>
      <c r="E59" s="3">
        <v>62125</v>
      </c>
      <c r="F59" s="3"/>
      <c r="G59" s="3">
        <v>1977730</v>
      </c>
      <c r="H59" s="3"/>
      <c r="I59" s="3">
        <v>1082928</v>
      </c>
      <c r="J59" s="3"/>
      <c r="K59" s="3">
        <v>8461738</v>
      </c>
      <c r="L59" s="3"/>
      <c r="M59" s="3">
        <v>93125</v>
      </c>
      <c r="N59" s="3"/>
      <c r="O59" s="3">
        <v>837461</v>
      </c>
      <c r="P59" s="3"/>
      <c r="Q59" s="3">
        <v>189480</v>
      </c>
      <c r="R59" s="3"/>
      <c r="S59" s="3">
        <v>69159</v>
      </c>
      <c r="T59" s="3"/>
      <c r="U59" s="3">
        <v>2173150</v>
      </c>
      <c r="V59" s="3"/>
      <c r="W59" s="3">
        <v>581724</v>
      </c>
      <c r="X59" s="3"/>
      <c r="Y59" s="3">
        <v>165723</v>
      </c>
      <c r="Z59" s="3"/>
      <c r="AA59" s="3">
        <v>1254993</v>
      </c>
      <c r="AC59" s="3">
        <v>50486</v>
      </c>
      <c r="AD59" s="3" t="s">
        <v>253</v>
      </c>
      <c r="AF59" s="16" t="s">
        <v>197</v>
      </c>
      <c r="AG59" s="3"/>
      <c r="AH59" s="3">
        <v>800949</v>
      </c>
      <c r="AI59" s="3"/>
      <c r="AJ59" s="3">
        <v>0</v>
      </c>
      <c r="AK59" s="3"/>
      <c r="AL59" s="3">
        <v>0</v>
      </c>
      <c r="AM59" s="3"/>
      <c r="AN59" s="3">
        <v>257282</v>
      </c>
      <c r="AO59" s="3"/>
      <c r="AP59" s="3">
        <v>55073</v>
      </c>
      <c r="AQ59" s="3"/>
      <c r="AR59" s="3">
        <v>0</v>
      </c>
      <c r="AS59" s="3"/>
      <c r="AT59" s="3">
        <v>0</v>
      </c>
      <c r="AU59" s="3"/>
      <c r="AV59" s="3">
        <v>0</v>
      </c>
      <c r="AW59" s="3"/>
      <c r="AX59" s="3">
        <v>0</v>
      </c>
      <c r="AY59" s="3"/>
      <c r="AZ59" s="3">
        <f t="shared" si="2"/>
        <v>18051001</v>
      </c>
      <c r="BA59" s="3"/>
      <c r="BB59" s="3">
        <v>393947</v>
      </c>
      <c r="BC59" s="3"/>
      <c r="BD59" s="3">
        <v>0</v>
      </c>
      <c r="BE59" s="3" t="s">
        <v>253</v>
      </c>
      <c r="BG59" s="16" t="s">
        <v>197</v>
      </c>
      <c r="BH59" s="3"/>
      <c r="BI59" s="3">
        <v>0</v>
      </c>
      <c r="BJ59" s="3"/>
      <c r="BK59" s="3">
        <v>0</v>
      </c>
      <c r="BL59" s="3"/>
      <c r="BM59" s="3">
        <f t="shared" si="3"/>
        <v>18444948</v>
      </c>
      <c r="BN59" s="3"/>
      <c r="BO59" s="3">
        <f>GenRev!AS59-BM59</f>
        <v>-1504313</v>
      </c>
      <c r="BP59" s="3"/>
      <c r="BQ59" s="3">
        <v>5583838</v>
      </c>
      <c r="BR59" s="3"/>
      <c r="BS59" s="3">
        <v>0</v>
      </c>
      <c r="BT59" s="3"/>
      <c r="BU59" s="3">
        <f t="shared" si="4"/>
        <v>4079525</v>
      </c>
      <c r="BV59" s="3"/>
      <c r="BW59" s="17">
        <f>+BU59-GenBS!AC59</f>
        <v>0</v>
      </c>
    </row>
    <row r="60" spans="1:75" s="16" customFormat="1" ht="12">
      <c r="A60" s="3" t="s">
        <v>305</v>
      </c>
      <c r="B60" s="3"/>
      <c r="C60" s="3" t="s">
        <v>216</v>
      </c>
      <c r="D60" s="3"/>
      <c r="E60" s="3">
        <v>51458</v>
      </c>
      <c r="F60" s="3"/>
      <c r="G60" s="3">
        <v>142682</v>
      </c>
      <c r="H60" s="3"/>
      <c r="I60" s="3">
        <v>133865</v>
      </c>
      <c r="J60" s="3"/>
      <c r="K60" s="3">
        <v>8282558</v>
      </c>
      <c r="L60" s="3"/>
      <c r="M60" s="3">
        <v>0</v>
      </c>
      <c r="N60" s="3"/>
      <c r="O60" s="3">
        <v>519901</v>
      </c>
      <c r="P60" s="3"/>
      <c r="Q60" s="3">
        <v>641397</v>
      </c>
      <c r="R60" s="3"/>
      <c r="S60" s="3">
        <v>88794</v>
      </c>
      <c r="T60" s="3"/>
      <c r="U60" s="3">
        <v>733959</v>
      </c>
      <c r="V60" s="3"/>
      <c r="W60" s="3">
        <v>484165</v>
      </c>
      <c r="X60" s="3"/>
      <c r="Y60" s="3">
        <v>0</v>
      </c>
      <c r="Z60" s="3"/>
      <c r="AA60" s="3">
        <v>1489762</v>
      </c>
      <c r="AC60" s="3">
        <v>73404</v>
      </c>
      <c r="AD60" s="3" t="s">
        <v>305</v>
      </c>
      <c r="AF60" s="16" t="s">
        <v>216</v>
      </c>
      <c r="AG60" s="3"/>
      <c r="AH60" s="3">
        <v>0</v>
      </c>
      <c r="AI60" s="3"/>
      <c r="AJ60" s="3">
        <v>0</v>
      </c>
      <c r="AK60" s="3"/>
      <c r="AL60" s="3">
        <v>0</v>
      </c>
      <c r="AM60" s="3"/>
      <c r="AN60" s="3">
        <v>0</v>
      </c>
      <c r="AO60" s="3"/>
      <c r="AP60" s="3">
        <v>8642</v>
      </c>
      <c r="AQ60" s="3"/>
      <c r="AR60" s="3">
        <v>0</v>
      </c>
      <c r="AS60" s="3"/>
      <c r="AT60" s="3">
        <v>0</v>
      </c>
      <c r="AU60" s="3"/>
      <c r="AV60" s="3">
        <v>0</v>
      </c>
      <c r="AW60" s="3"/>
      <c r="AX60" s="3">
        <v>0</v>
      </c>
      <c r="AY60" s="3"/>
      <c r="AZ60" s="3">
        <f t="shared" si="2"/>
        <v>12599129</v>
      </c>
      <c r="BA60" s="3"/>
      <c r="BB60" s="3">
        <v>2017540</v>
      </c>
      <c r="BC60" s="3"/>
      <c r="BD60" s="3">
        <v>0</v>
      </c>
      <c r="BE60" s="3" t="s">
        <v>305</v>
      </c>
      <c r="BG60" s="16" t="s">
        <v>216</v>
      </c>
      <c r="BH60" s="3"/>
      <c r="BI60" s="3">
        <v>0</v>
      </c>
      <c r="BJ60" s="3"/>
      <c r="BK60" s="3">
        <v>0</v>
      </c>
      <c r="BL60" s="3"/>
      <c r="BM60" s="3">
        <f t="shared" si="3"/>
        <v>14616669</v>
      </c>
      <c r="BN60" s="3"/>
      <c r="BO60" s="3">
        <f>GenRev!AS60-BM60</f>
        <v>220091</v>
      </c>
      <c r="BP60" s="3"/>
      <c r="BQ60" s="3">
        <v>4938021</v>
      </c>
      <c r="BR60" s="3"/>
      <c r="BS60" s="3">
        <v>0</v>
      </c>
      <c r="BT60" s="3"/>
      <c r="BU60" s="3">
        <f t="shared" si="4"/>
        <v>5158112</v>
      </c>
      <c r="BV60" s="3"/>
      <c r="BW60" s="17">
        <f>+BU60-GenBS!AC60</f>
        <v>0</v>
      </c>
    </row>
    <row r="61" spans="1:75" s="16" customFormat="1" ht="12">
      <c r="A61" s="3" t="s">
        <v>306</v>
      </c>
      <c r="B61" s="3"/>
      <c r="C61" s="3" t="s">
        <v>229</v>
      </c>
      <c r="D61" s="3"/>
      <c r="E61" s="3">
        <v>51672</v>
      </c>
      <c r="F61" s="3"/>
      <c r="G61" s="3">
        <v>0</v>
      </c>
      <c r="H61" s="3"/>
      <c r="I61" s="3">
        <v>0</v>
      </c>
      <c r="J61" s="3"/>
      <c r="K61" s="3">
        <v>4588511</v>
      </c>
      <c r="L61" s="3"/>
      <c r="M61" s="3">
        <v>0</v>
      </c>
      <c r="N61" s="3"/>
      <c r="O61" s="3">
        <v>339942</v>
      </c>
      <c r="P61" s="3"/>
      <c r="Q61" s="3">
        <v>238739</v>
      </c>
      <c r="R61" s="3"/>
      <c r="S61" s="3">
        <v>57850</v>
      </c>
      <c r="T61" s="3"/>
      <c r="U61" s="3">
        <v>490146</v>
      </c>
      <c r="V61" s="3"/>
      <c r="W61" s="3">
        <v>315792</v>
      </c>
      <c r="X61" s="3"/>
      <c r="Y61" s="3">
        <v>0</v>
      </c>
      <c r="Z61" s="3"/>
      <c r="AA61" s="3">
        <v>603257</v>
      </c>
      <c r="AC61" s="3">
        <v>2517</v>
      </c>
      <c r="AD61" s="3" t="s">
        <v>306</v>
      </c>
      <c r="AF61" s="16" t="s">
        <v>229</v>
      </c>
      <c r="AG61" s="3"/>
      <c r="AH61" s="3">
        <v>323407</v>
      </c>
      <c r="AI61" s="3"/>
      <c r="AJ61" s="3">
        <v>0</v>
      </c>
      <c r="AK61" s="3"/>
      <c r="AL61" s="3">
        <v>0</v>
      </c>
      <c r="AM61" s="3"/>
      <c r="AN61" s="3">
        <v>0</v>
      </c>
      <c r="AO61" s="3"/>
      <c r="AP61" s="3">
        <v>42684</v>
      </c>
      <c r="AQ61" s="3"/>
      <c r="AR61" s="3">
        <v>0</v>
      </c>
      <c r="AS61" s="3"/>
      <c r="AT61" s="3">
        <v>0</v>
      </c>
      <c r="AU61" s="3"/>
      <c r="AV61" s="3">
        <v>0</v>
      </c>
      <c r="AW61" s="3"/>
      <c r="AX61" s="3">
        <v>0</v>
      </c>
      <c r="AY61" s="3"/>
      <c r="AZ61" s="3">
        <f t="shared" si="2"/>
        <v>7002845</v>
      </c>
      <c r="BA61" s="3"/>
      <c r="BB61" s="3">
        <v>741040</v>
      </c>
      <c r="BC61" s="3"/>
      <c r="BD61" s="3">
        <v>0</v>
      </c>
      <c r="BE61" s="3" t="s">
        <v>306</v>
      </c>
      <c r="BG61" s="16" t="s">
        <v>229</v>
      </c>
      <c r="BH61" s="3"/>
      <c r="BI61" s="3">
        <v>0</v>
      </c>
      <c r="BJ61" s="3"/>
      <c r="BK61" s="3">
        <v>0</v>
      </c>
      <c r="BL61" s="3"/>
      <c r="BM61" s="3">
        <f t="shared" si="3"/>
        <v>7743885</v>
      </c>
      <c r="BN61" s="3"/>
      <c r="BO61" s="3">
        <f>GenRev!AS61-BM61</f>
        <v>63095</v>
      </c>
      <c r="BP61" s="3"/>
      <c r="BQ61" s="3">
        <v>2224033</v>
      </c>
      <c r="BR61" s="3"/>
      <c r="BS61" s="3">
        <v>0</v>
      </c>
      <c r="BT61" s="3"/>
      <c r="BU61" s="3">
        <f t="shared" si="4"/>
        <v>2287128</v>
      </c>
      <c r="BV61" s="3"/>
      <c r="BW61" s="17">
        <f>+BU61-GenBS!AC61</f>
        <v>0</v>
      </c>
    </row>
    <row r="62" spans="1:75" s="16" customFormat="1" ht="12">
      <c r="A62" s="3" t="s">
        <v>257</v>
      </c>
      <c r="B62" s="3"/>
      <c r="C62" s="3" t="s">
        <v>231</v>
      </c>
      <c r="D62" s="3"/>
      <c r="E62" s="3">
        <v>51474</v>
      </c>
      <c r="F62" s="3"/>
      <c r="G62" s="3">
        <v>0</v>
      </c>
      <c r="H62" s="3"/>
      <c r="I62" s="3">
        <v>152501</v>
      </c>
      <c r="J62" s="3"/>
      <c r="K62" s="3">
        <v>6968110</v>
      </c>
      <c r="L62" s="3"/>
      <c r="M62" s="3">
        <v>0</v>
      </c>
      <c r="N62" s="3"/>
      <c r="O62" s="3">
        <v>869957</v>
      </c>
      <c r="P62" s="3"/>
      <c r="Q62" s="3">
        <v>387757</v>
      </c>
      <c r="R62" s="3"/>
      <c r="S62" s="3">
        <v>19400</v>
      </c>
      <c r="T62" s="3"/>
      <c r="U62" s="3">
        <v>1005546</v>
      </c>
      <c r="V62" s="3"/>
      <c r="W62" s="3">
        <v>503842</v>
      </c>
      <c r="X62" s="3"/>
      <c r="Y62" s="3">
        <v>63001</v>
      </c>
      <c r="Z62" s="3"/>
      <c r="AA62" s="3">
        <v>1041595</v>
      </c>
      <c r="AC62" s="3">
        <v>109047</v>
      </c>
      <c r="AD62" s="3" t="s">
        <v>257</v>
      </c>
      <c r="AF62" s="16" t="s">
        <v>231</v>
      </c>
      <c r="AG62" s="3"/>
      <c r="AH62" s="3">
        <v>667804</v>
      </c>
      <c r="AI62" s="3"/>
      <c r="AJ62" s="3">
        <v>0</v>
      </c>
      <c r="AK62" s="3"/>
      <c r="AL62" s="3">
        <v>0</v>
      </c>
      <c r="AM62" s="3"/>
      <c r="AN62" s="3">
        <v>14220</v>
      </c>
      <c r="AO62" s="3"/>
      <c r="AP62" s="3">
        <v>106707</v>
      </c>
      <c r="AQ62" s="3"/>
      <c r="AR62" s="3">
        <v>119032</v>
      </c>
      <c r="AS62" s="3"/>
      <c r="AT62" s="3">
        <v>0</v>
      </c>
      <c r="AU62" s="3"/>
      <c r="AV62" s="3">
        <v>67272</v>
      </c>
      <c r="AW62" s="3"/>
      <c r="AX62" s="3">
        <v>1385</v>
      </c>
      <c r="AY62" s="3"/>
      <c r="AZ62" s="3">
        <f t="shared" si="2"/>
        <v>12097176</v>
      </c>
      <c r="BA62" s="3"/>
      <c r="BB62" s="3">
        <v>1103571</v>
      </c>
      <c r="BC62" s="3"/>
      <c r="BD62" s="3">
        <v>0</v>
      </c>
      <c r="BE62" s="3" t="s">
        <v>257</v>
      </c>
      <c r="BG62" s="16" t="s">
        <v>231</v>
      </c>
      <c r="BH62" s="3"/>
      <c r="BI62" s="3">
        <v>0</v>
      </c>
      <c r="BJ62" s="3"/>
      <c r="BK62" s="3">
        <v>0</v>
      </c>
      <c r="BL62" s="3"/>
      <c r="BM62" s="3">
        <f t="shared" si="3"/>
        <v>13200747</v>
      </c>
      <c r="BN62" s="3"/>
      <c r="BO62" s="3">
        <f>GenRev!AS62-BM62</f>
        <v>915932</v>
      </c>
      <c r="BP62" s="3"/>
      <c r="BQ62" s="3">
        <v>9142948</v>
      </c>
      <c r="BR62" s="3"/>
      <c r="BS62" s="3">
        <v>0</v>
      </c>
      <c r="BT62" s="3"/>
      <c r="BU62" s="3">
        <f t="shared" si="4"/>
        <v>10058880</v>
      </c>
      <c r="BV62" s="3"/>
      <c r="BW62" s="17">
        <f>+BU62-GenBS!AC62</f>
        <v>0</v>
      </c>
    </row>
    <row r="63" spans="1:75" s="16" customFormat="1" ht="12">
      <c r="A63" s="3" t="s">
        <v>325</v>
      </c>
      <c r="B63" s="3"/>
      <c r="C63" s="3" t="s">
        <v>232</v>
      </c>
      <c r="D63" s="3"/>
      <c r="E63" s="3">
        <v>51698</v>
      </c>
      <c r="F63" s="3"/>
      <c r="G63" s="3">
        <v>830898</v>
      </c>
      <c r="H63" s="3"/>
      <c r="I63" s="3">
        <v>0</v>
      </c>
      <c r="J63" s="3"/>
      <c r="K63" s="3">
        <v>1893731</v>
      </c>
      <c r="L63" s="3"/>
      <c r="M63" s="3">
        <v>0</v>
      </c>
      <c r="N63" s="3"/>
      <c r="O63" s="3">
        <v>138193</v>
      </c>
      <c r="P63" s="3"/>
      <c r="Q63" s="3">
        <v>274920</v>
      </c>
      <c r="R63" s="3"/>
      <c r="S63" s="3">
        <v>17372</v>
      </c>
      <c r="T63" s="3"/>
      <c r="U63" s="3">
        <v>471666</v>
      </c>
      <c r="V63" s="3"/>
      <c r="W63" s="3">
        <v>311526</v>
      </c>
      <c r="X63" s="3"/>
      <c r="Y63" s="3">
        <v>68464</v>
      </c>
      <c r="Z63" s="3"/>
      <c r="AA63" s="3">
        <v>683485</v>
      </c>
      <c r="AC63" s="3">
        <v>11493</v>
      </c>
      <c r="AD63" s="3" t="s">
        <v>325</v>
      </c>
      <c r="AF63" s="16" t="s">
        <v>232</v>
      </c>
      <c r="AG63" s="3"/>
      <c r="AH63" s="3">
        <v>242151</v>
      </c>
      <c r="AI63" s="3"/>
      <c r="AJ63" s="3">
        <v>0</v>
      </c>
      <c r="AK63" s="3"/>
      <c r="AL63" s="3">
        <v>0</v>
      </c>
      <c r="AM63" s="3"/>
      <c r="AN63" s="3">
        <v>0</v>
      </c>
      <c r="AO63" s="3"/>
      <c r="AP63" s="3">
        <v>1838</v>
      </c>
      <c r="AQ63" s="3"/>
      <c r="AR63" s="3">
        <v>24034</v>
      </c>
      <c r="AS63" s="3"/>
      <c r="AT63" s="3">
        <v>0</v>
      </c>
      <c r="AU63" s="3"/>
      <c r="AV63" s="3">
        <v>105709</v>
      </c>
      <c r="AW63" s="3"/>
      <c r="AX63" s="3">
        <v>65541</v>
      </c>
      <c r="AY63" s="3"/>
      <c r="AZ63" s="3">
        <f t="shared" si="2"/>
        <v>5141021</v>
      </c>
      <c r="BA63" s="3"/>
      <c r="BB63" s="3">
        <v>9444</v>
      </c>
      <c r="BC63" s="3"/>
      <c r="BD63" s="3">
        <v>0</v>
      </c>
      <c r="BE63" s="3" t="s">
        <v>325</v>
      </c>
      <c r="BG63" s="16" t="s">
        <v>232</v>
      </c>
      <c r="BH63" s="3"/>
      <c r="BI63" s="3">
        <v>0</v>
      </c>
      <c r="BJ63" s="3"/>
      <c r="BK63" s="3">
        <v>0</v>
      </c>
      <c r="BL63" s="3"/>
      <c r="BM63" s="3">
        <f t="shared" si="3"/>
        <v>5150465</v>
      </c>
      <c r="BN63" s="3"/>
      <c r="BO63" s="3">
        <f>GenRev!AS63-BM63</f>
        <v>538176</v>
      </c>
      <c r="BP63" s="3"/>
      <c r="BQ63" s="3">
        <v>2340146</v>
      </c>
      <c r="BR63" s="3"/>
      <c r="BS63" s="3">
        <v>0</v>
      </c>
      <c r="BT63" s="3"/>
      <c r="BU63" s="3">
        <f t="shared" si="4"/>
        <v>2878322</v>
      </c>
      <c r="BV63" s="3"/>
      <c r="BW63" s="17">
        <f>+BU63-GenBS!AC63</f>
        <v>0</v>
      </c>
    </row>
    <row r="64" spans="1:75" s="16" customFormat="1" ht="12">
      <c r="A64" s="3" t="s">
        <v>307</v>
      </c>
      <c r="B64" s="3"/>
      <c r="C64" s="3" t="s">
        <v>234</v>
      </c>
      <c r="D64" s="3"/>
      <c r="E64" s="3">
        <v>51714</v>
      </c>
      <c r="F64" s="3"/>
      <c r="G64" s="3">
        <v>1585057</v>
      </c>
      <c r="H64" s="3"/>
      <c r="I64" s="3">
        <v>0</v>
      </c>
      <c r="J64" s="3"/>
      <c r="K64" s="3">
        <v>5486461</v>
      </c>
      <c r="L64" s="3"/>
      <c r="M64" s="3">
        <v>0</v>
      </c>
      <c r="N64" s="3"/>
      <c r="O64" s="3">
        <v>436991</v>
      </c>
      <c r="P64" s="3"/>
      <c r="Q64" s="3">
        <v>1067157</v>
      </c>
      <c r="R64" s="3"/>
      <c r="S64" s="3">
        <v>52827</v>
      </c>
      <c r="T64" s="3"/>
      <c r="U64" s="3">
        <v>833285</v>
      </c>
      <c r="V64" s="3"/>
      <c r="W64" s="3">
        <v>459606</v>
      </c>
      <c r="X64" s="3"/>
      <c r="Y64" s="3">
        <v>0</v>
      </c>
      <c r="Z64" s="3"/>
      <c r="AA64" s="3">
        <v>863387</v>
      </c>
      <c r="AC64" s="3">
        <v>22236</v>
      </c>
      <c r="AD64" s="3" t="s">
        <v>307</v>
      </c>
      <c r="AF64" s="16" t="s">
        <v>234</v>
      </c>
      <c r="AG64" s="3"/>
      <c r="AH64" s="3">
        <v>0</v>
      </c>
      <c r="AI64" s="3"/>
      <c r="AJ64" s="3">
        <v>0</v>
      </c>
      <c r="AK64" s="3"/>
      <c r="AL64" s="3">
        <v>0</v>
      </c>
      <c r="AM64" s="3"/>
      <c r="AN64" s="3">
        <v>0</v>
      </c>
      <c r="AO64" s="3"/>
      <c r="AP64" s="3">
        <v>0</v>
      </c>
      <c r="AQ64" s="3"/>
      <c r="AR64" s="3">
        <v>0</v>
      </c>
      <c r="AS64" s="3"/>
      <c r="AT64" s="3">
        <v>0</v>
      </c>
      <c r="AU64" s="3"/>
      <c r="AV64" s="3">
        <v>0</v>
      </c>
      <c r="AW64" s="3"/>
      <c r="AX64" s="3">
        <v>0</v>
      </c>
      <c r="AY64" s="3"/>
      <c r="AZ64" s="3">
        <f t="shared" si="2"/>
        <v>10807007</v>
      </c>
      <c r="BA64" s="3"/>
      <c r="BB64" s="3">
        <v>108507</v>
      </c>
      <c r="BC64" s="3"/>
      <c r="BD64" s="3">
        <v>0</v>
      </c>
      <c r="BE64" s="3" t="s">
        <v>307</v>
      </c>
      <c r="BG64" s="16" t="s">
        <v>234</v>
      </c>
      <c r="BH64" s="3"/>
      <c r="BI64" s="3">
        <v>0</v>
      </c>
      <c r="BJ64" s="3"/>
      <c r="BK64" s="3">
        <v>0</v>
      </c>
      <c r="BL64" s="3"/>
      <c r="BM64" s="3">
        <f t="shared" si="3"/>
        <v>10915514</v>
      </c>
      <c r="BN64" s="3"/>
      <c r="BO64" s="3">
        <f>GenRev!AS64-BM64</f>
        <v>510618</v>
      </c>
      <c r="BP64" s="3"/>
      <c r="BQ64" s="3">
        <v>3920170</v>
      </c>
      <c r="BR64" s="3"/>
      <c r="BS64" s="3">
        <v>0</v>
      </c>
      <c r="BT64" s="3"/>
      <c r="BU64" s="3">
        <f t="shared" si="4"/>
        <v>4430788</v>
      </c>
      <c r="BV64" s="3"/>
      <c r="BW64" s="17">
        <f>+BU64-GenBS!AC64</f>
        <v>0</v>
      </c>
    </row>
    <row r="65" spans="1:75" s="16" customFormat="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C65" s="3"/>
      <c r="AD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17"/>
    </row>
    <row r="66" spans="1:75" s="16" customFormat="1" ht="1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C66" s="17" t="s">
        <v>310</v>
      </c>
      <c r="AG66" s="3"/>
      <c r="AH66" s="3"/>
      <c r="AI66" s="3"/>
      <c r="AJ66" s="3"/>
      <c r="AK66" s="3"/>
      <c r="AL66" s="17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BB66" s="3"/>
      <c r="BC66" s="3"/>
      <c r="BD66" s="17" t="s">
        <v>310</v>
      </c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17" t="s">
        <v>310</v>
      </c>
      <c r="BV66" s="3"/>
      <c r="BW66" s="3"/>
    </row>
    <row r="67" spans="1:75" s="16" customFormat="1" ht="12">
      <c r="A67" s="13" t="s">
        <v>309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C67" s="3"/>
      <c r="AD67" s="44" t="s">
        <v>309</v>
      </c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B67" s="3"/>
      <c r="BC67" s="3"/>
      <c r="BD67" s="3"/>
      <c r="BE67" s="44" t="s">
        <v>309</v>
      </c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s="16" customFormat="1" ht="1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C68" s="3"/>
      <c r="AD68" s="44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B68" s="3"/>
      <c r="BC68" s="3"/>
      <c r="BD68" s="3"/>
      <c r="BE68" s="44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</row>
    <row r="69" spans="1:75" s="34" customFormat="1" ht="12" hidden="1">
      <c r="A69" s="3" t="s">
        <v>345</v>
      </c>
      <c r="B69" s="3"/>
      <c r="C69" s="3" t="s">
        <v>321</v>
      </c>
      <c r="D69" s="3"/>
      <c r="E69" s="3">
        <v>45849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C69" s="3"/>
      <c r="AD69" s="3" t="s">
        <v>345</v>
      </c>
      <c r="AF69" s="34" t="s">
        <v>152</v>
      </c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>
        <f>SUM(G69:AY69)</f>
        <v>0</v>
      </c>
      <c r="BB69" s="3"/>
      <c r="BC69" s="3"/>
      <c r="BD69" s="3"/>
      <c r="BE69" s="3" t="s">
        <v>345</v>
      </c>
      <c r="BG69" s="34" t="s">
        <v>152</v>
      </c>
      <c r="BH69" s="3"/>
      <c r="BI69" s="3"/>
      <c r="BJ69" s="3"/>
      <c r="BK69" s="3"/>
      <c r="BL69" s="3"/>
      <c r="BM69" s="3">
        <f t="shared" ref="BM69:BM100" si="5">+BD69+BI69+BB69+AZ69</f>
        <v>0</v>
      </c>
      <c r="BN69" s="3"/>
      <c r="BO69" s="3">
        <f>GenRev!AS69-BM69</f>
        <v>0</v>
      </c>
      <c r="BP69" s="3"/>
      <c r="BQ69" s="3"/>
      <c r="BR69" s="3"/>
      <c r="BS69" s="3"/>
      <c r="BT69" s="3"/>
      <c r="BU69" s="3">
        <f>+BQ69+BO69-BS69</f>
        <v>0</v>
      </c>
      <c r="BV69" s="3"/>
      <c r="BW69" s="17">
        <f>+BU69-GenBS!AC69</f>
        <v>0</v>
      </c>
    </row>
    <row r="70" spans="1:75" s="16" customFormat="1" ht="12" hidden="1">
      <c r="A70" s="3" t="s">
        <v>346</v>
      </c>
      <c r="B70" s="3"/>
      <c r="C70" s="3" t="s">
        <v>152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C70" s="3"/>
      <c r="AD70" s="16" t="s">
        <v>346</v>
      </c>
      <c r="AF70" s="16" t="s">
        <v>152</v>
      </c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>
        <f>SUM(B70:AY70)</f>
        <v>0</v>
      </c>
      <c r="BA70" s="3"/>
      <c r="BB70" s="3"/>
      <c r="BC70" s="3"/>
      <c r="BD70" s="3"/>
      <c r="BE70" s="16" t="s">
        <v>346</v>
      </c>
      <c r="BG70" s="16" t="s">
        <v>152</v>
      </c>
      <c r="BH70" s="3"/>
      <c r="BI70" s="3"/>
      <c r="BJ70" s="3"/>
      <c r="BK70" s="3"/>
      <c r="BL70" s="3"/>
      <c r="BM70" s="3">
        <f t="shared" si="5"/>
        <v>0</v>
      </c>
      <c r="BN70" s="3"/>
      <c r="BO70" s="3">
        <f>GenRev!AS70-BM70</f>
        <v>0</v>
      </c>
      <c r="BP70" s="3"/>
      <c r="BQ70" s="3"/>
      <c r="BR70" s="3"/>
      <c r="BS70" s="3"/>
      <c r="BT70" s="3"/>
      <c r="BU70" s="3">
        <f>+BQ70+BO70-BS70</f>
        <v>0</v>
      </c>
      <c r="BV70" s="3"/>
      <c r="BW70" s="17">
        <f>+BU70-GenBS!AC70</f>
        <v>0</v>
      </c>
    </row>
    <row r="71" spans="1:75" s="16" customFormat="1" ht="12">
      <c r="A71" s="3" t="s">
        <v>156</v>
      </c>
      <c r="B71" s="3"/>
      <c r="C71" s="3" t="s">
        <v>153</v>
      </c>
      <c r="D71" s="3"/>
      <c r="E71" s="3">
        <v>135145</v>
      </c>
      <c r="F71" s="3"/>
      <c r="G71" s="34">
        <v>17102</v>
      </c>
      <c r="H71" s="34"/>
      <c r="I71" s="34">
        <v>2075123</v>
      </c>
      <c r="J71" s="34"/>
      <c r="K71" s="34">
        <v>124</v>
      </c>
      <c r="L71" s="34"/>
      <c r="M71" s="34">
        <v>30668</v>
      </c>
      <c r="N71" s="34"/>
      <c r="O71" s="34">
        <v>868483</v>
      </c>
      <c r="P71" s="34"/>
      <c r="Q71" s="34">
        <v>449819</v>
      </c>
      <c r="R71" s="34"/>
      <c r="S71" s="34">
        <v>87935</v>
      </c>
      <c r="T71" s="34"/>
      <c r="U71" s="34">
        <v>392696</v>
      </c>
      <c r="V71" s="34"/>
      <c r="W71" s="34">
        <v>303110</v>
      </c>
      <c r="X71" s="34"/>
      <c r="Y71" s="34">
        <v>0</v>
      </c>
      <c r="Z71" s="34"/>
      <c r="AA71" s="34">
        <v>15073</v>
      </c>
      <c r="AC71" s="34">
        <v>0</v>
      </c>
      <c r="AD71" s="16" t="s">
        <v>156</v>
      </c>
      <c r="AF71" s="16" t="s">
        <v>153</v>
      </c>
      <c r="AG71" s="34"/>
      <c r="AH71" s="34">
        <v>8059</v>
      </c>
      <c r="AI71" s="34"/>
      <c r="AJ71" s="34">
        <v>0</v>
      </c>
      <c r="AK71" s="34"/>
      <c r="AL71" s="34">
        <v>0</v>
      </c>
      <c r="AM71" s="34"/>
      <c r="AN71" s="34">
        <v>0</v>
      </c>
      <c r="AO71" s="34"/>
      <c r="AP71" s="34">
        <v>0</v>
      </c>
      <c r="AQ71" s="34"/>
      <c r="AR71" s="34">
        <v>0</v>
      </c>
      <c r="AS71" s="34"/>
      <c r="AT71" s="34">
        <v>0</v>
      </c>
      <c r="AU71" s="34"/>
      <c r="AV71" s="34">
        <v>0</v>
      </c>
      <c r="AW71" s="34"/>
      <c r="AX71" s="34">
        <v>0</v>
      </c>
      <c r="AY71" s="34"/>
      <c r="AZ71" s="34">
        <f>SUM(G71:AY71)</f>
        <v>4248192</v>
      </c>
      <c r="BA71" s="3"/>
      <c r="BB71" s="34">
        <v>0</v>
      </c>
      <c r="BC71" s="34"/>
      <c r="BD71" s="34">
        <v>0</v>
      </c>
      <c r="BE71" s="16" t="s">
        <v>156</v>
      </c>
      <c r="BG71" s="16" t="s">
        <v>153</v>
      </c>
      <c r="BH71" s="34"/>
      <c r="BI71" s="34"/>
      <c r="BJ71" s="34"/>
      <c r="BK71" s="34"/>
      <c r="BL71" s="34"/>
      <c r="BM71" s="34">
        <f t="shared" si="5"/>
        <v>4248192</v>
      </c>
      <c r="BN71" s="34"/>
      <c r="BO71" s="34">
        <f>GenRev!AS71-BM71</f>
        <v>192059</v>
      </c>
      <c r="BP71" s="34"/>
      <c r="BQ71" s="34">
        <v>202741</v>
      </c>
      <c r="BR71" s="34"/>
      <c r="BS71" s="34">
        <v>0</v>
      </c>
      <c r="BT71" s="34"/>
      <c r="BU71" s="34">
        <f>+BQ71+BO71-BS71</f>
        <v>394800</v>
      </c>
      <c r="BV71" s="3"/>
      <c r="BW71" s="17">
        <f>+BU71-GenBS!AC71</f>
        <v>0</v>
      </c>
    </row>
    <row r="72" spans="1:75" s="16" customFormat="1" ht="12" hidden="1">
      <c r="A72" s="3" t="s">
        <v>362</v>
      </c>
      <c r="B72" s="3"/>
      <c r="C72" s="3" t="s">
        <v>322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C72" s="3"/>
      <c r="AD72" s="3" t="s">
        <v>362</v>
      </c>
      <c r="AF72" s="16" t="s">
        <v>322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>
        <f>SUM(B72:AY72)</f>
        <v>0</v>
      </c>
      <c r="BA72" s="3"/>
      <c r="BB72" s="3"/>
      <c r="BC72" s="3"/>
      <c r="BD72" s="3"/>
      <c r="BE72" s="3" t="s">
        <v>362</v>
      </c>
      <c r="BG72" s="16" t="s">
        <v>322</v>
      </c>
      <c r="BH72" s="3"/>
      <c r="BI72" s="3"/>
      <c r="BJ72" s="3"/>
      <c r="BK72" s="3"/>
      <c r="BL72" s="3"/>
      <c r="BM72" s="3">
        <f t="shared" si="5"/>
        <v>0</v>
      </c>
      <c r="BN72" s="3"/>
      <c r="BO72" s="3">
        <f>GenRev!AS72-BM72</f>
        <v>0</v>
      </c>
      <c r="BP72" s="3"/>
      <c r="BQ72" s="3"/>
      <c r="BR72" s="3"/>
      <c r="BS72" s="3"/>
      <c r="BT72" s="3"/>
      <c r="BU72" s="3">
        <f>+BQ72+BO72-BS72</f>
        <v>0</v>
      </c>
      <c r="BV72" s="3"/>
      <c r="BW72" s="17">
        <f>+BU72-GenBS!AC72</f>
        <v>0</v>
      </c>
    </row>
    <row r="73" spans="1:75" s="16" customFormat="1" ht="12">
      <c r="A73" s="3" t="s">
        <v>365</v>
      </c>
      <c r="B73" s="3"/>
      <c r="C73" s="3" t="s">
        <v>158</v>
      </c>
      <c r="D73" s="3"/>
      <c r="E73" s="3">
        <v>46029</v>
      </c>
      <c r="F73" s="3"/>
      <c r="G73" s="3">
        <v>512446</v>
      </c>
      <c r="H73" s="3"/>
      <c r="I73" s="3">
        <v>1558645</v>
      </c>
      <c r="J73" s="3"/>
      <c r="K73" s="3">
        <v>0</v>
      </c>
      <c r="L73" s="3"/>
      <c r="M73" s="3">
        <v>0</v>
      </c>
      <c r="N73" s="3"/>
      <c r="O73" s="3">
        <v>1220745</v>
      </c>
      <c r="P73" s="3"/>
      <c r="Q73" s="3">
        <v>534957</v>
      </c>
      <c r="R73" s="3"/>
      <c r="S73" s="3">
        <v>32056</v>
      </c>
      <c r="T73" s="3"/>
      <c r="U73" s="3">
        <v>222929</v>
      </c>
      <c r="V73" s="3"/>
      <c r="W73" s="3">
        <v>166465</v>
      </c>
      <c r="X73" s="3"/>
      <c r="Y73" s="3">
        <v>0</v>
      </c>
      <c r="Z73" s="3"/>
      <c r="AA73" s="3">
        <v>71950</v>
      </c>
      <c r="AC73" s="3">
        <v>0</v>
      </c>
      <c r="AD73" s="16" t="s">
        <v>365</v>
      </c>
      <c r="AF73" s="16" t="s">
        <v>158</v>
      </c>
      <c r="AG73" s="3"/>
      <c r="AH73" s="3">
        <v>223198</v>
      </c>
      <c r="AI73" s="3"/>
      <c r="AJ73" s="3">
        <v>0</v>
      </c>
      <c r="AK73" s="3"/>
      <c r="AL73" s="3">
        <v>0</v>
      </c>
      <c r="AM73" s="3"/>
      <c r="AN73" s="3">
        <v>0</v>
      </c>
      <c r="AO73" s="3"/>
      <c r="AP73" s="3">
        <v>0</v>
      </c>
      <c r="AQ73" s="3"/>
      <c r="AR73" s="3">
        <v>0</v>
      </c>
      <c r="AS73" s="3"/>
      <c r="AT73" s="3">
        <v>0</v>
      </c>
      <c r="AU73" s="3"/>
      <c r="AV73" s="3">
        <v>0</v>
      </c>
      <c r="AW73" s="3"/>
      <c r="AX73" s="3">
        <v>0</v>
      </c>
      <c r="AY73" s="3"/>
      <c r="AZ73" s="3">
        <f>SUM(G73:AY73)</f>
        <v>4543391</v>
      </c>
      <c r="BA73" s="3"/>
      <c r="BB73" s="3">
        <v>0</v>
      </c>
      <c r="BC73" s="3"/>
      <c r="BD73" s="3">
        <v>0</v>
      </c>
      <c r="BE73" s="16" t="s">
        <v>365</v>
      </c>
      <c r="BG73" s="16" t="s">
        <v>158</v>
      </c>
      <c r="BH73" s="3"/>
      <c r="BI73" s="3"/>
      <c r="BJ73" s="3"/>
      <c r="BK73" s="3"/>
      <c r="BL73" s="3"/>
      <c r="BM73" s="3">
        <f t="shared" si="5"/>
        <v>4543391</v>
      </c>
      <c r="BN73" s="3"/>
      <c r="BO73" s="3">
        <f>GenRev!AS73-BM73</f>
        <v>-66449</v>
      </c>
      <c r="BP73" s="3"/>
      <c r="BQ73" s="3">
        <v>1980579</v>
      </c>
      <c r="BR73" s="3"/>
      <c r="BS73" s="3">
        <v>0</v>
      </c>
      <c r="BT73" s="3"/>
      <c r="BU73" s="3">
        <f>+BQ73+BO73-BS73</f>
        <v>1914130</v>
      </c>
      <c r="BV73" s="3"/>
      <c r="BW73" s="17">
        <f>+BU73-GenBS!AC73</f>
        <v>0</v>
      </c>
    </row>
    <row r="74" spans="1:75" s="16" customFormat="1" ht="12">
      <c r="A74" s="3" t="s">
        <v>364</v>
      </c>
      <c r="B74" s="3"/>
      <c r="C74" s="3" t="s">
        <v>155</v>
      </c>
      <c r="D74" s="3"/>
      <c r="E74" s="3">
        <v>46086</v>
      </c>
      <c r="F74" s="3"/>
      <c r="G74" s="3">
        <v>504423</v>
      </c>
      <c r="H74" s="3"/>
      <c r="I74" s="3">
        <v>1205069</v>
      </c>
      <c r="J74" s="3"/>
      <c r="K74" s="3">
        <v>0</v>
      </c>
      <c r="L74" s="3"/>
      <c r="M74" s="3">
        <v>0</v>
      </c>
      <c r="N74" s="3"/>
      <c r="O74" s="3">
        <v>683825</v>
      </c>
      <c r="P74" s="3"/>
      <c r="Q74" s="3">
        <v>1180807</v>
      </c>
      <c r="R74" s="3"/>
      <c r="S74" s="3">
        <v>19358</v>
      </c>
      <c r="T74" s="3"/>
      <c r="U74" s="3">
        <v>1055986</v>
      </c>
      <c r="V74" s="3"/>
      <c r="W74" s="3">
        <v>427686</v>
      </c>
      <c r="X74" s="3"/>
      <c r="Y74" s="3">
        <v>0</v>
      </c>
      <c r="Z74" s="3"/>
      <c r="AA74" s="3">
        <v>346347</v>
      </c>
      <c r="AC74" s="3">
        <v>121931</v>
      </c>
      <c r="AD74" s="16" t="s">
        <v>364</v>
      </c>
      <c r="AF74" s="16" t="s">
        <v>155</v>
      </c>
      <c r="AG74" s="3"/>
      <c r="AH74" s="3">
        <v>1789635</v>
      </c>
      <c r="AI74" s="3"/>
      <c r="AJ74" s="3">
        <v>0</v>
      </c>
      <c r="AK74" s="3"/>
      <c r="AL74" s="3">
        <v>0</v>
      </c>
      <c r="AM74" s="3"/>
      <c r="AN74" s="3">
        <v>0</v>
      </c>
      <c r="AO74" s="3"/>
      <c r="AP74" s="3">
        <v>0</v>
      </c>
      <c r="AQ74" s="3"/>
      <c r="AR74" s="3">
        <v>2726616</v>
      </c>
      <c r="AS74" s="3"/>
      <c r="AT74" s="3">
        <v>0</v>
      </c>
      <c r="AU74" s="3"/>
      <c r="AV74" s="3">
        <v>0</v>
      </c>
      <c r="AW74" s="3"/>
      <c r="AX74" s="3">
        <v>73801</v>
      </c>
      <c r="AY74" s="3"/>
      <c r="AZ74" s="3">
        <f t="shared" ref="AZ74:AZ130" si="6">SUM(G74:AY74)</f>
        <v>10135484</v>
      </c>
      <c r="BA74" s="3"/>
      <c r="BB74" s="3">
        <v>0</v>
      </c>
      <c r="BC74" s="3"/>
      <c r="BD74" s="3">
        <v>0</v>
      </c>
      <c r="BE74" s="16" t="s">
        <v>364</v>
      </c>
      <c r="BG74" s="16" t="s">
        <v>155</v>
      </c>
      <c r="BH74" s="3"/>
      <c r="BI74" s="3"/>
      <c r="BJ74" s="3"/>
      <c r="BK74" s="3"/>
      <c r="BL74" s="3"/>
      <c r="BM74" s="3">
        <f t="shared" si="5"/>
        <v>10135484</v>
      </c>
      <c r="BN74" s="3"/>
      <c r="BO74" s="3">
        <f>GenRev!AS74-BM74</f>
        <v>340157</v>
      </c>
      <c r="BP74" s="3"/>
      <c r="BQ74" s="3">
        <v>768302</v>
      </c>
      <c r="BR74" s="3"/>
      <c r="BS74" s="3">
        <v>0</v>
      </c>
      <c r="BT74" s="3"/>
      <c r="BU74" s="3">
        <f t="shared" ref="BU74:BU130" si="7">+BQ74+BO74-BS74</f>
        <v>1108459</v>
      </c>
      <c r="BV74" s="3"/>
      <c r="BW74" s="17">
        <f>+BU74-GenBS!AC74</f>
        <v>0</v>
      </c>
    </row>
    <row r="75" spans="1:75" s="16" customFormat="1" ht="12">
      <c r="A75" s="3" t="s">
        <v>366</v>
      </c>
      <c r="B75" s="3"/>
      <c r="C75" s="3" t="s">
        <v>161</v>
      </c>
      <c r="D75" s="3"/>
      <c r="E75" s="3">
        <v>46227</v>
      </c>
      <c r="F75" s="3"/>
      <c r="G75" s="3">
        <v>522</v>
      </c>
      <c r="H75" s="3"/>
      <c r="I75" s="3">
        <v>1282854</v>
      </c>
      <c r="J75" s="3"/>
      <c r="K75" s="3">
        <v>29530</v>
      </c>
      <c r="L75" s="3"/>
      <c r="M75" s="3">
        <v>0</v>
      </c>
      <c r="N75" s="3"/>
      <c r="O75" s="3">
        <v>1411768</v>
      </c>
      <c r="P75" s="3"/>
      <c r="Q75" s="3">
        <v>2028294</v>
      </c>
      <c r="R75" s="3"/>
      <c r="S75" s="3">
        <v>23020</v>
      </c>
      <c r="T75" s="3"/>
      <c r="U75" s="3">
        <v>727101</v>
      </c>
      <c r="V75" s="3"/>
      <c r="W75" s="3">
        <v>215212</v>
      </c>
      <c r="X75" s="3"/>
      <c r="Y75" s="3">
        <v>13974</v>
      </c>
      <c r="Z75" s="3"/>
      <c r="AA75" s="3">
        <v>51548</v>
      </c>
      <c r="AC75" s="3">
        <v>0</v>
      </c>
      <c r="AD75" s="16" t="s">
        <v>366</v>
      </c>
      <c r="AF75" s="16" t="s">
        <v>161</v>
      </c>
      <c r="AG75" s="3"/>
      <c r="AH75" s="3">
        <v>6377</v>
      </c>
      <c r="AI75" s="3"/>
      <c r="AJ75" s="3">
        <v>0</v>
      </c>
      <c r="AK75" s="3"/>
      <c r="AL75" s="3">
        <v>0</v>
      </c>
      <c r="AM75" s="3"/>
      <c r="AN75" s="3">
        <v>0</v>
      </c>
      <c r="AO75" s="3"/>
      <c r="AP75" s="3">
        <v>0</v>
      </c>
      <c r="AQ75" s="3"/>
      <c r="AR75" s="3">
        <v>0</v>
      </c>
      <c r="AS75" s="3"/>
      <c r="AT75" s="3">
        <v>0</v>
      </c>
      <c r="AU75" s="3"/>
      <c r="AV75" s="3">
        <v>72567</v>
      </c>
      <c r="AW75" s="3"/>
      <c r="AX75" s="3">
        <v>84</v>
      </c>
      <c r="AY75" s="3"/>
      <c r="AZ75" s="3">
        <f t="shared" si="6"/>
        <v>5862851</v>
      </c>
      <c r="BA75" s="3"/>
      <c r="BB75" s="3">
        <v>30755</v>
      </c>
      <c r="BC75" s="3"/>
      <c r="BD75" s="3">
        <v>0</v>
      </c>
      <c r="BE75" s="16" t="s">
        <v>366</v>
      </c>
      <c r="BG75" s="16" t="s">
        <v>161</v>
      </c>
      <c r="BH75" s="3"/>
      <c r="BI75" s="3"/>
      <c r="BJ75" s="3"/>
      <c r="BK75" s="3"/>
      <c r="BL75" s="3"/>
      <c r="BM75" s="3">
        <f t="shared" si="5"/>
        <v>5893606</v>
      </c>
      <c r="BN75" s="3"/>
      <c r="BO75" s="3">
        <f>GenRev!AS75-BM75</f>
        <v>293992</v>
      </c>
      <c r="BP75" s="3"/>
      <c r="BQ75" s="3">
        <v>1055936</v>
      </c>
      <c r="BR75" s="3"/>
      <c r="BS75" s="3">
        <v>0</v>
      </c>
      <c r="BT75" s="3"/>
      <c r="BU75" s="3">
        <f t="shared" si="7"/>
        <v>1349928</v>
      </c>
      <c r="BV75" s="3"/>
      <c r="BW75" s="17">
        <f>+BU75-GenBS!AC75</f>
        <v>0</v>
      </c>
    </row>
    <row r="76" spans="1:75" s="16" customFormat="1" ht="12">
      <c r="A76" s="3" t="s">
        <v>162</v>
      </c>
      <c r="B76" s="3"/>
      <c r="C76" s="3" t="s">
        <v>163</v>
      </c>
      <c r="D76" s="3"/>
      <c r="E76" s="3">
        <v>46292</v>
      </c>
      <c r="F76" s="3"/>
      <c r="G76" s="3">
        <v>268830</v>
      </c>
      <c r="H76" s="3"/>
      <c r="I76" s="3">
        <v>6625024</v>
      </c>
      <c r="J76" s="3"/>
      <c r="K76" s="3">
        <v>0</v>
      </c>
      <c r="L76" s="3"/>
      <c r="M76" s="3">
        <v>22141</v>
      </c>
      <c r="N76" s="3"/>
      <c r="O76" s="3">
        <v>4569866</v>
      </c>
      <c r="P76" s="3"/>
      <c r="Q76" s="3">
        <v>6072173</v>
      </c>
      <c r="R76" s="3"/>
      <c r="S76" s="3">
        <v>205924</v>
      </c>
      <c r="T76" s="3"/>
      <c r="U76" s="3">
        <v>455963</v>
      </c>
      <c r="V76" s="3"/>
      <c r="W76" s="3">
        <v>272496</v>
      </c>
      <c r="X76" s="3"/>
      <c r="Y76" s="3">
        <v>0</v>
      </c>
      <c r="Z76" s="3"/>
      <c r="AA76" s="3">
        <v>0</v>
      </c>
      <c r="AC76" s="3">
        <v>0</v>
      </c>
      <c r="AD76" s="16" t="s">
        <v>162</v>
      </c>
      <c r="AF76" s="16" t="s">
        <v>163</v>
      </c>
      <c r="AG76" s="3"/>
      <c r="AH76" s="3">
        <v>23564</v>
      </c>
      <c r="AI76" s="3"/>
      <c r="AJ76" s="3">
        <v>0</v>
      </c>
      <c r="AK76" s="3"/>
      <c r="AL76" s="3">
        <v>0</v>
      </c>
      <c r="AM76" s="3"/>
      <c r="AN76" s="3">
        <v>0</v>
      </c>
      <c r="AO76" s="3"/>
      <c r="AP76" s="3">
        <v>0</v>
      </c>
      <c r="AQ76" s="3"/>
      <c r="AR76" s="3">
        <v>0</v>
      </c>
      <c r="AS76" s="3"/>
      <c r="AT76" s="3">
        <v>0</v>
      </c>
      <c r="AU76" s="3"/>
      <c r="AV76" s="3">
        <v>0</v>
      </c>
      <c r="AW76" s="3"/>
      <c r="AX76" s="3">
        <v>0</v>
      </c>
      <c r="AY76" s="3"/>
      <c r="AZ76" s="3">
        <f t="shared" si="6"/>
        <v>18515981</v>
      </c>
      <c r="BA76" s="3"/>
      <c r="BB76" s="3">
        <v>15000</v>
      </c>
      <c r="BC76" s="3"/>
      <c r="BD76" s="3">
        <v>0</v>
      </c>
      <c r="BE76" s="16" t="s">
        <v>162</v>
      </c>
      <c r="BG76" s="16" t="s">
        <v>163</v>
      </c>
      <c r="BH76" s="3"/>
      <c r="BI76" s="3"/>
      <c r="BJ76" s="3"/>
      <c r="BK76" s="3"/>
      <c r="BL76" s="3"/>
      <c r="BM76" s="3">
        <f t="shared" si="5"/>
        <v>18530981</v>
      </c>
      <c r="BN76" s="3"/>
      <c r="BO76" s="3">
        <f>GenRev!AS76-BM76</f>
        <v>255133</v>
      </c>
      <c r="BP76" s="3"/>
      <c r="BQ76" s="3">
        <v>3948831</v>
      </c>
      <c r="BR76" s="3"/>
      <c r="BS76" s="3">
        <v>0</v>
      </c>
      <c r="BT76" s="3"/>
      <c r="BU76" s="3">
        <f t="shared" si="7"/>
        <v>4203964</v>
      </c>
      <c r="BV76" s="3"/>
      <c r="BW76" s="17">
        <f>+BU76-GenBS!AC76</f>
        <v>0</v>
      </c>
    </row>
    <row r="77" spans="1:75" s="16" customFormat="1" ht="12" hidden="1">
      <c r="A77" s="3" t="s">
        <v>343</v>
      </c>
      <c r="B77" s="3"/>
      <c r="C77" s="3" t="s">
        <v>164</v>
      </c>
      <c r="D77" s="3"/>
      <c r="E77" s="3">
        <v>46375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C77" s="3"/>
      <c r="AD77" s="16" t="s">
        <v>343</v>
      </c>
      <c r="AF77" s="16" t="s">
        <v>164</v>
      </c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>
        <f t="shared" si="6"/>
        <v>0</v>
      </c>
      <c r="BA77" s="3"/>
      <c r="BB77" s="3"/>
      <c r="BC77" s="3"/>
      <c r="BD77" s="3"/>
      <c r="BE77" s="16" t="s">
        <v>343</v>
      </c>
      <c r="BG77" s="16" t="s">
        <v>164</v>
      </c>
      <c r="BH77" s="3"/>
      <c r="BI77" s="3"/>
      <c r="BJ77" s="3"/>
      <c r="BK77" s="3"/>
      <c r="BL77" s="3"/>
      <c r="BM77" s="3">
        <f t="shared" si="5"/>
        <v>0</v>
      </c>
      <c r="BN77" s="3"/>
      <c r="BO77" s="3">
        <f>GenRev!AS77-BM77</f>
        <v>0</v>
      </c>
      <c r="BP77" s="3"/>
      <c r="BQ77" s="3"/>
      <c r="BR77" s="3"/>
      <c r="BS77" s="3"/>
      <c r="BT77" s="3"/>
      <c r="BU77" s="3">
        <f t="shared" si="7"/>
        <v>0</v>
      </c>
      <c r="BV77" s="3"/>
      <c r="BW77" s="17">
        <f>+BU77-GenBS!AC77</f>
        <v>0</v>
      </c>
    </row>
    <row r="78" spans="1:75" s="16" customFormat="1" ht="12">
      <c r="A78" s="3" t="s">
        <v>367</v>
      </c>
      <c r="B78" s="3"/>
      <c r="C78" s="3" t="s">
        <v>165</v>
      </c>
      <c r="D78" s="3"/>
      <c r="E78" s="3">
        <v>46417</v>
      </c>
      <c r="F78" s="3"/>
      <c r="G78" s="3">
        <v>758936</v>
      </c>
      <c r="H78" s="3"/>
      <c r="I78" s="3">
        <v>1345563</v>
      </c>
      <c r="J78" s="3"/>
      <c r="K78" s="3">
        <v>0</v>
      </c>
      <c r="L78" s="3"/>
      <c r="M78" s="3">
        <v>0</v>
      </c>
      <c r="N78" s="3"/>
      <c r="O78" s="3">
        <v>2312070</v>
      </c>
      <c r="P78" s="3"/>
      <c r="Q78" s="3">
        <v>2763443</v>
      </c>
      <c r="R78" s="3"/>
      <c r="S78" s="3">
        <v>29237</v>
      </c>
      <c r="T78" s="3"/>
      <c r="U78" s="3">
        <v>442753</v>
      </c>
      <c r="V78" s="3"/>
      <c r="W78" s="3">
        <v>195391</v>
      </c>
      <c r="X78" s="3"/>
      <c r="Y78" s="3">
        <v>0</v>
      </c>
      <c r="Z78" s="3"/>
      <c r="AA78" s="3">
        <v>138204</v>
      </c>
      <c r="AC78" s="3">
        <v>549957</v>
      </c>
      <c r="AD78" s="16" t="s">
        <v>367</v>
      </c>
      <c r="AF78" s="16" t="s">
        <v>165</v>
      </c>
      <c r="AG78" s="3"/>
      <c r="AH78" s="3">
        <v>297642</v>
      </c>
      <c r="AI78" s="3"/>
      <c r="AJ78" s="3">
        <v>0</v>
      </c>
      <c r="AK78" s="3"/>
      <c r="AL78" s="3">
        <v>0</v>
      </c>
      <c r="AM78" s="3"/>
      <c r="AN78" s="3">
        <v>43458</v>
      </c>
      <c r="AO78" s="3"/>
      <c r="AP78" s="3">
        <v>0</v>
      </c>
      <c r="AQ78" s="3"/>
      <c r="AR78" s="3">
        <v>77948</v>
      </c>
      <c r="AS78" s="3"/>
      <c r="AT78" s="3">
        <v>0</v>
      </c>
      <c r="AU78" s="3"/>
      <c r="AV78" s="3">
        <v>33119</v>
      </c>
      <c r="AW78" s="3"/>
      <c r="AX78" s="3">
        <v>23858</v>
      </c>
      <c r="AY78" s="3"/>
      <c r="AZ78" s="3">
        <f t="shared" si="6"/>
        <v>9011579</v>
      </c>
      <c r="BA78" s="3"/>
      <c r="BB78" s="3">
        <v>13860</v>
      </c>
      <c r="BC78" s="3"/>
      <c r="BD78" s="3">
        <v>0</v>
      </c>
      <c r="BE78" s="16" t="s">
        <v>367</v>
      </c>
      <c r="BG78" s="16" t="s">
        <v>165</v>
      </c>
      <c r="BH78" s="3"/>
      <c r="BI78" s="3"/>
      <c r="BJ78" s="3"/>
      <c r="BK78" s="3"/>
      <c r="BL78" s="3"/>
      <c r="BM78" s="3">
        <f t="shared" si="5"/>
        <v>9025439</v>
      </c>
      <c r="BN78" s="3"/>
      <c r="BO78" s="3">
        <f>GenRev!AS78-BM78</f>
        <v>-408072</v>
      </c>
      <c r="BP78" s="3"/>
      <c r="BQ78" s="3">
        <v>472063</v>
      </c>
      <c r="BR78" s="3"/>
      <c r="BS78" s="3">
        <v>0</v>
      </c>
      <c r="BT78" s="3"/>
      <c r="BU78" s="3">
        <f>+BQ78+BO78-BS78</f>
        <v>63991</v>
      </c>
      <c r="BV78" s="3"/>
      <c r="BW78" s="17">
        <f>+BU78-GenBS!AC78</f>
        <v>0</v>
      </c>
    </row>
    <row r="79" spans="1:75" s="16" customFormat="1" ht="12">
      <c r="A79" s="3" t="s">
        <v>166</v>
      </c>
      <c r="B79" s="3"/>
      <c r="C79" s="3" t="s">
        <v>167</v>
      </c>
      <c r="D79" s="3"/>
      <c r="E79" s="3">
        <v>46532</v>
      </c>
      <c r="F79" s="3"/>
      <c r="G79" s="3">
        <v>385529</v>
      </c>
      <c r="H79" s="3"/>
      <c r="I79" s="3">
        <v>26499534</v>
      </c>
      <c r="J79" s="3"/>
      <c r="K79" s="3">
        <v>429778</v>
      </c>
      <c r="L79" s="3"/>
      <c r="M79" s="3">
        <v>0</v>
      </c>
      <c r="N79" s="3"/>
      <c r="O79" s="3">
        <v>4463549</v>
      </c>
      <c r="P79" s="3"/>
      <c r="Q79" s="3">
        <v>11820906</v>
      </c>
      <c r="R79" s="3"/>
      <c r="S79" s="3">
        <v>78613</v>
      </c>
      <c r="T79" s="3"/>
      <c r="U79" s="3">
        <v>9074578</v>
      </c>
      <c r="V79" s="3"/>
      <c r="W79" s="3">
        <v>857379</v>
      </c>
      <c r="X79" s="3"/>
      <c r="Y79" s="3">
        <v>13526</v>
      </c>
      <c r="Z79" s="3"/>
      <c r="AA79" s="3">
        <v>800047</v>
      </c>
      <c r="AC79" s="3">
        <v>3879</v>
      </c>
      <c r="AD79" s="16" t="s">
        <v>166</v>
      </c>
      <c r="AF79" s="16" t="s">
        <v>167</v>
      </c>
      <c r="AG79" s="3"/>
      <c r="AH79" s="3">
        <v>73497</v>
      </c>
      <c r="AI79" s="3"/>
      <c r="AJ79" s="3">
        <v>0</v>
      </c>
      <c r="AK79" s="3"/>
      <c r="AL79" s="3">
        <v>0</v>
      </c>
      <c r="AM79" s="3"/>
      <c r="AN79" s="3">
        <v>358</v>
      </c>
      <c r="AO79" s="3"/>
      <c r="AP79" s="3">
        <v>54467</v>
      </c>
      <c r="AQ79" s="3"/>
      <c r="AR79" s="3">
        <v>0</v>
      </c>
      <c r="AS79" s="3"/>
      <c r="AT79" s="3">
        <v>0</v>
      </c>
      <c r="AU79" s="3"/>
      <c r="AV79" s="3">
        <v>71000</v>
      </c>
      <c r="AW79" s="3"/>
      <c r="AX79" s="3">
        <v>81478</v>
      </c>
      <c r="AY79" s="3"/>
      <c r="AZ79" s="3">
        <f t="shared" si="6"/>
        <v>54708118</v>
      </c>
      <c r="BA79" s="3"/>
      <c r="BB79" s="3">
        <v>0</v>
      </c>
      <c r="BC79" s="3"/>
      <c r="BD79" s="3">
        <v>0</v>
      </c>
      <c r="BE79" s="16" t="s">
        <v>166</v>
      </c>
      <c r="BG79" s="16" t="s">
        <v>167</v>
      </c>
      <c r="BH79" s="3"/>
      <c r="BI79" s="3"/>
      <c r="BJ79" s="3"/>
      <c r="BK79" s="3"/>
      <c r="BL79" s="3"/>
      <c r="BM79" s="3">
        <f t="shared" si="5"/>
        <v>54708118</v>
      </c>
      <c r="BN79" s="3"/>
      <c r="BO79" s="3">
        <f>GenRev!AS79-BM79</f>
        <v>2307271</v>
      </c>
      <c r="BP79" s="3"/>
      <c r="BQ79" s="3">
        <v>21651171</v>
      </c>
      <c r="BR79" s="3"/>
      <c r="BS79" s="3">
        <v>0</v>
      </c>
      <c r="BT79" s="3"/>
      <c r="BU79" s="3">
        <f t="shared" si="7"/>
        <v>23958442</v>
      </c>
      <c r="BV79" s="3"/>
      <c r="BW79" s="17">
        <f>+BU79-GenBS!AC79</f>
        <v>0</v>
      </c>
    </row>
    <row r="80" spans="1:75" s="16" customFormat="1" ht="12" hidden="1">
      <c r="A80" s="3" t="s">
        <v>339</v>
      </c>
      <c r="B80" s="3"/>
      <c r="C80" s="3" t="s">
        <v>169</v>
      </c>
      <c r="D80" s="3"/>
      <c r="E80" s="3">
        <v>46615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C80" s="3"/>
      <c r="AD80" s="16" t="s">
        <v>339</v>
      </c>
      <c r="AF80" s="16" t="s">
        <v>169</v>
      </c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>
        <f t="shared" si="6"/>
        <v>0</v>
      </c>
      <c r="BA80" s="3"/>
      <c r="BB80" s="3"/>
      <c r="BC80" s="3"/>
      <c r="BD80" s="3"/>
      <c r="BE80" s="16" t="s">
        <v>339</v>
      </c>
      <c r="BG80" s="16" t="s">
        <v>169</v>
      </c>
      <c r="BH80" s="3"/>
      <c r="BI80" s="3"/>
      <c r="BJ80" s="3"/>
      <c r="BK80" s="3"/>
      <c r="BL80" s="3"/>
      <c r="BM80" s="3">
        <f t="shared" si="5"/>
        <v>0</v>
      </c>
      <c r="BN80" s="3"/>
      <c r="BO80" s="3">
        <f>GenRev!AS80-BM80</f>
        <v>0</v>
      </c>
      <c r="BP80" s="3"/>
      <c r="BQ80" s="3"/>
      <c r="BR80" s="3"/>
      <c r="BS80" s="3"/>
      <c r="BT80" s="3"/>
      <c r="BU80" s="3">
        <f t="shared" si="7"/>
        <v>0</v>
      </c>
      <c r="BV80" s="3"/>
      <c r="BW80" s="17">
        <f>+BU80-GenBS!AC80</f>
        <v>0</v>
      </c>
    </row>
    <row r="81" spans="1:75" s="16" customFormat="1" ht="12" hidden="1">
      <c r="A81" s="3" t="s">
        <v>363</v>
      </c>
      <c r="B81" s="3"/>
      <c r="C81" s="3" t="s">
        <v>171</v>
      </c>
      <c r="D81" s="3"/>
      <c r="E81" s="3">
        <v>46730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C81" s="3"/>
      <c r="AD81" s="3" t="s">
        <v>363</v>
      </c>
      <c r="AF81" s="16" t="s">
        <v>171</v>
      </c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>
        <f t="shared" si="6"/>
        <v>0</v>
      </c>
      <c r="BA81" s="3"/>
      <c r="BB81" s="3"/>
      <c r="BC81" s="3"/>
      <c r="BD81" s="3"/>
      <c r="BE81" s="3" t="s">
        <v>363</v>
      </c>
      <c r="BG81" s="16" t="s">
        <v>171</v>
      </c>
      <c r="BH81" s="3"/>
      <c r="BI81" s="3"/>
      <c r="BJ81" s="3"/>
      <c r="BK81" s="3"/>
      <c r="BL81" s="3"/>
      <c r="BM81" s="3">
        <f t="shared" si="5"/>
        <v>0</v>
      </c>
      <c r="BN81" s="3"/>
      <c r="BO81" s="3">
        <f>GenRev!AS81-BM81</f>
        <v>0</v>
      </c>
      <c r="BP81" s="3"/>
      <c r="BQ81" s="3"/>
      <c r="BR81" s="3"/>
      <c r="BS81" s="3"/>
      <c r="BT81" s="3"/>
      <c r="BU81" s="3">
        <f t="shared" si="7"/>
        <v>0</v>
      </c>
      <c r="BV81" s="3"/>
      <c r="BW81" s="17">
        <f>+BU81-GenBS!AC81</f>
        <v>0</v>
      </c>
    </row>
    <row r="82" spans="1:75" s="16" customFormat="1" ht="12">
      <c r="A82" s="3" t="s">
        <v>384</v>
      </c>
      <c r="B82" s="3"/>
      <c r="C82" s="3" t="s">
        <v>227</v>
      </c>
      <c r="D82" s="3"/>
      <c r="E82" s="3">
        <v>50260</v>
      </c>
      <c r="F82" s="3"/>
      <c r="G82" s="3">
        <v>382681</v>
      </c>
      <c r="H82" s="3"/>
      <c r="I82" s="3">
        <v>1326624</v>
      </c>
      <c r="J82" s="3"/>
      <c r="K82" s="3">
        <v>0</v>
      </c>
      <c r="L82" s="3"/>
      <c r="M82" s="3">
        <v>38158</v>
      </c>
      <c r="N82" s="3"/>
      <c r="O82" s="3">
        <v>2368245</v>
      </c>
      <c r="P82" s="3"/>
      <c r="Q82" s="3">
        <v>2617128</v>
      </c>
      <c r="R82" s="3"/>
      <c r="S82" s="3">
        <v>24472</v>
      </c>
      <c r="T82" s="3"/>
      <c r="U82" s="3">
        <v>414920</v>
      </c>
      <c r="V82" s="3"/>
      <c r="W82" s="3">
        <v>204228</v>
      </c>
      <c r="X82" s="3"/>
      <c r="Y82" s="3">
        <v>205849</v>
      </c>
      <c r="Z82" s="3"/>
      <c r="AA82" s="3">
        <v>184122</v>
      </c>
      <c r="AC82" s="3">
        <v>14156</v>
      </c>
      <c r="AD82" s="3" t="s">
        <v>384</v>
      </c>
      <c r="AE82" s="3"/>
      <c r="AF82" s="3" t="s">
        <v>227</v>
      </c>
      <c r="AG82" s="3"/>
      <c r="AH82" s="3">
        <v>197083</v>
      </c>
      <c r="AI82" s="3"/>
      <c r="AJ82" s="3">
        <v>0</v>
      </c>
      <c r="AK82" s="3"/>
      <c r="AL82" s="3">
        <v>0</v>
      </c>
      <c r="AM82" s="3"/>
      <c r="AN82" s="3">
        <v>0</v>
      </c>
      <c r="AO82" s="3"/>
      <c r="AP82" s="3">
        <v>0</v>
      </c>
      <c r="AQ82" s="3"/>
      <c r="AR82" s="3">
        <v>0</v>
      </c>
      <c r="AS82" s="3"/>
      <c r="AT82" s="3">
        <v>0</v>
      </c>
      <c r="AU82" s="3"/>
      <c r="AV82" s="3">
        <v>79578</v>
      </c>
      <c r="AW82" s="3"/>
      <c r="AX82" s="3">
        <v>31797</v>
      </c>
      <c r="AY82" s="3"/>
      <c r="AZ82" s="3">
        <f t="shared" ref="AZ82" si="8">SUM(G82:AY82)</f>
        <v>8089041</v>
      </c>
      <c r="BA82" s="3"/>
      <c r="BB82" s="3">
        <v>0</v>
      </c>
      <c r="BC82" s="3"/>
      <c r="BD82" s="3">
        <v>0</v>
      </c>
      <c r="BE82" s="3" t="s">
        <v>384</v>
      </c>
      <c r="BF82" s="3"/>
      <c r="BG82" s="3" t="s">
        <v>227</v>
      </c>
      <c r="BH82" s="3"/>
      <c r="BI82" s="3">
        <v>0</v>
      </c>
      <c r="BJ82" s="3"/>
      <c r="BK82" s="3">
        <v>0</v>
      </c>
      <c r="BL82" s="3"/>
      <c r="BM82" s="3">
        <f t="shared" si="5"/>
        <v>8089041</v>
      </c>
      <c r="BN82" s="3"/>
      <c r="BO82" s="3">
        <f>GenRev!AS82-BM82</f>
        <v>-221679</v>
      </c>
      <c r="BP82" s="3"/>
      <c r="BQ82" s="3">
        <v>805294</v>
      </c>
      <c r="BR82" s="3"/>
      <c r="BS82" s="3">
        <v>0</v>
      </c>
      <c r="BT82" s="3"/>
      <c r="BU82" s="3">
        <f t="shared" ref="BU82" si="9">+BQ82+BO82-BS82</f>
        <v>583615</v>
      </c>
      <c r="BV82" s="3"/>
      <c r="BW82" s="17">
        <f>+BU82-GenBS!AC82</f>
        <v>0</v>
      </c>
    </row>
    <row r="83" spans="1:75" s="16" customFormat="1" ht="12" hidden="1">
      <c r="A83" s="3" t="s">
        <v>344</v>
      </c>
      <c r="B83" s="3"/>
      <c r="C83" s="3" t="s">
        <v>172</v>
      </c>
      <c r="D83" s="3"/>
      <c r="E83" s="3">
        <v>125690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C83" s="3"/>
      <c r="AD83" s="16" t="s">
        <v>344</v>
      </c>
      <c r="AF83" s="16" t="s">
        <v>172</v>
      </c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>
        <f t="shared" si="6"/>
        <v>0</v>
      </c>
      <c r="BA83" s="3"/>
      <c r="BB83" s="3"/>
      <c r="BC83" s="3"/>
      <c r="BD83" s="3"/>
      <c r="BE83" s="16" t="s">
        <v>344</v>
      </c>
      <c r="BG83" s="16" t="s">
        <v>172</v>
      </c>
      <c r="BH83" s="3"/>
      <c r="BI83" s="3"/>
      <c r="BJ83" s="3"/>
      <c r="BK83" s="3"/>
      <c r="BL83" s="3"/>
      <c r="BM83" s="3">
        <f t="shared" si="5"/>
        <v>0</v>
      </c>
      <c r="BN83" s="3"/>
      <c r="BO83" s="3">
        <f>GenRev!AS83-BM83</f>
        <v>0</v>
      </c>
      <c r="BP83" s="3"/>
      <c r="BQ83" s="3"/>
      <c r="BR83" s="3"/>
      <c r="BS83" s="3"/>
      <c r="BT83" s="3"/>
      <c r="BU83" s="3">
        <f t="shared" si="7"/>
        <v>0</v>
      </c>
      <c r="BV83" s="3"/>
      <c r="BW83" s="17">
        <f>+BU83-GenBS!AC83</f>
        <v>0</v>
      </c>
    </row>
    <row r="84" spans="1:75" s="16" customFormat="1" ht="12">
      <c r="A84" s="3" t="s">
        <v>173</v>
      </c>
      <c r="B84" s="3"/>
      <c r="C84" s="3" t="s">
        <v>174</v>
      </c>
      <c r="D84" s="3"/>
      <c r="E84" s="3">
        <v>46839</v>
      </c>
      <c r="F84" s="3"/>
      <c r="G84" s="3">
        <v>254634</v>
      </c>
      <c r="H84" s="3"/>
      <c r="I84" s="3">
        <v>1529743</v>
      </c>
      <c r="J84" s="3"/>
      <c r="K84" s="3">
        <v>0</v>
      </c>
      <c r="L84" s="3"/>
      <c r="M84" s="3">
        <f>1733+50053+9508</f>
        <v>61294</v>
      </c>
      <c r="N84" s="3"/>
      <c r="O84" s="3">
        <v>2200515</v>
      </c>
      <c r="P84" s="3"/>
      <c r="Q84" s="3">
        <v>2591962</v>
      </c>
      <c r="R84" s="3"/>
      <c r="S84" s="3">
        <v>13555</v>
      </c>
      <c r="T84" s="3"/>
      <c r="U84" s="3">
        <v>1503072</v>
      </c>
      <c r="V84" s="3"/>
      <c r="W84" s="3">
        <v>148835</v>
      </c>
      <c r="X84" s="3"/>
      <c r="Y84" s="3">
        <v>0</v>
      </c>
      <c r="Z84" s="3"/>
      <c r="AA84" s="3">
        <v>47479</v>
      </c>
      <c r="AC84" s="3">
        <v>0</v>
      </c>
      <c r="AD84" s="16" t="s">
        <v>173</v>
      </c>
      <c r="AF84" s="16" t="s">
        <v>174</v>
      </c>
      <c r="AG84" s="3"/>
      <c r="AH84" s="3">
        <v>72708</v>
      </c>
      <c r="AI84" s="3"/>
      <c r="AJ84" s="3">
        <v>0</v>
      </c>
      <c r="AK84" s="3"/>
      <c r="AL84" s="3">
        <v>0</v>
      </c>
      <c r="AM84" s="3"/>
      <c r="AN84" s="3">
        <v>0</v>
      </c>
      <c r="AO84" s="3"/>
      <c r="AP84" s="3">
        <v>0</v>
      </c>
      <c r="AQ84" s="3"/>
      <c r="AR84" s="3">
        <v>0</v>
      </c>
      <c r="AS84" s="3"/>
      <c r="AT84" s="3">
        <v>0</v>
      </c>
      <c r="AU84" s="3"/>
      <c r="AV84" s="3">
        <v>5597</v>
      </c>
      <c r="AW84" s="3"/>
      <c r="AX84" s="3">
        <v>2621</v>
      </c>
      <c r="AY84" s="3"/>
      <c r="AZ84" s="3">
        <f t="shared" si="6"/>
        <v>8432015</v>
      </c>
      <c r="BA84" s="3"/>
      <c r="BB84" s="3">
        <v>0</v>
      </c>
      <c r="BC84" s="3"/>
      <c r="BD84" s="3">
        <v>0</v>
      </c>
      <c r="BE84" s="16" t="s">
        <v>173</v>
      </c>
      <c r="BG84" s="16" t="s">
        <v>174</v>
      </c>
      <c r="BH84" s="3"/>
      <c r="BI84" s="3"/>
      <c r="BJ84" s="3"/>
      <c r="BK84" s="3"/>
      <c r="BL84" s="3"/>
      <c r="BM84" s="3">
        <f t="shared" si="5"/>
        <v>8432015</v>
      </c>
      <c r="BN84" s="3"/>
      <c r="BO84" s="3">
        <f>GenRev!AS84-BM84</f>
        <v>-48077</v>
      </c>
      <c r="BP84" s="3"/>
      <c r="BQ84" s="3">
        <v>1079303</v>
      </c>
      <c r="BR84" s="3"/>
      <c r="BS84" s="3">
        <v>0</v>
      </c>
      <c r="BT84" s="3"/>
      <c r="BU84" s="3">
        <f t="shared" si="7"/>
        <v>1031226</v>
      </c>
      <c r="BV84" s="3"/>
      <c r="BW84" s="17">
        <f>+BU84-GenBS!AC84</f>
        <v>0</v>
      </c>
    </row>
    <row r="85" spans="1:75" s="16" customFormat="1" ht="12">
      <c r="A85" s="3" t="s">
        <v>353</v>
      </c>
      <c r="B85" s="3"/>
      <c r="C85" s="3" t="s">
        <v>175</v>
      </c>
      <c r="D85" s="3"/>
      <c r="E85" s="3">
        <v>46938</v>
      </c>
      <c r="F85" s="3"/>
      <c r="G85" s="3">
        <v>712582</v>
      </c>
      <c r="H85" s="3"/>
      <c r="I85" s="3">
        <v>8776102</v>
      </c>
      <c r="J85" s="3"/>
      <c r="K85" s="3">
        <v>0</v>
      </c>
      <c r="L85" s="3"/>
      <c r="M85" s="3">
        <v>53252</v>
      </c>
      <c r="N85" s="3"/>
      <c r="O85" s="3">
        <v>9320692</v>
      </c>
      <c r="P85" s="3"/>
      <c r="Q85" s="3">
        <v>11114574</v>
      </c>
      <c r="R85" s="3"/>
      <c r="S85" s="3">
        <v>85030</v>
      </c>
      <c r="T85" s="3"/>
      <c r="U85" s="3">
        <v>12145292</v>
      </c>
      <c r="V85" s="3"/>
      <c r="W85" s="3">
        <v>1782848</v>
      </c>
      <c r="X85" s="3"/>
      <c r="Y85" s="3">
        <v>631276</v>
      </c>
      <c r="Z85" s="3"/>
      <c r="AA85" s="3">
        <v>926180</v>
      </c>
      <c r="AC85" s="3">
        <v>233544</v>
      </c>
      <c r="AD85" s="3" t="s">
        <v>353</v>
      </c>
      <c r="AF85" s="16" t="s">
        <v>175</v>
      </c>
      <c r="AG85" s="3"/>
      <c r="AH85" s="3">
        <v>1862778</v>
      </c>
      <c r="AI85" s="3"/>
      <c r="AJ85" s="3">
        <v>0</v>
      </c>
      <c r="AK85" s="3"/>
      <c r="AL85" s="3">
        <v>0</v>
      </c>
      <c r="AM85" s="3"/>
      <c r="AN85" s="3">
        <v>120709</v>
      </c>
      <c r="AO85" s="3"/>
      <c r="AP85" s="3">
        <v>91490</v>
      </c>
      <c r="AQ85" s="3"/>
      <c r="AR85" s="3">
        <v>394863</v>
      </c>
      <c r="AS85" s="3"/>
      <c r="AT85" s="3">
        <v>0</v>
      </c>
      <c r="AU85" s="3"/>
      <c r="AV85" s="3">
        <v>269711</v>
      </c>
      <c r="AW85" s="3"/>
      <c r="AX85" s="3">
        <v>149265</v>
      </c>
      <c r="AY85" s="3"/>
      <c r="AZ85" s="3">
        <f t="shared" si="6"/>
        <v>48670188</v>
      </c>
      <c r="BA85" s="3"/>
      <c r="BB85" s="3">
        <v>703491</v>
      </c>
      <c r="BC85" s="3"/>
      <c r="BD85" s="3">
        <v>0</v>
      </c>
      <c r="BE85" s="3" t="s">
        <v>353</v>
      </c>
      <c r="BG85" s="16" t="s">
        <v>175</v>
      </c>
      <c r="BH85" s="3"/>
      <c r="BI85" s="3"/>
      <c r="BJ85" s="3"/>
      <c r="BK85" s="3"/>
      <c r="BL85" s="3"/>
      <c r="BM85" s="3">
        <f t="shared" si="5"/>
        <v>49373679</v>
      </c>
      <c r="BN85" s="3"/>
      <c r="BO85" s="3">
        <f>GenRev!AS85-BM85</f>
        <v>-1608766</v>
      </c>
      <c r="BP85" s="3"/>
      <c r="BQ85" s="3">
        <v>14621302</v>
      </c>
      <c r="BR85" s="3"/>
      <c r="BS85" s="3">
        <v>0</v>
      </c>
      <c r="BT85" s="3"/>
      <c r="BU85" s="3">
        <f t="shared" si="7"/>
        <v>13012536</v>
      </c>
      <c r="BV85" s="3"/>
      <c r="BW85" s="17">
        <f>+BU85-GenBS!AC85</f>
        <v>0</v>
      </c>
    </row>
    <row r="86" spans="1:75" s="16" customFormat="1" ht="12">
      <c r="A86" s="3" t="s">
        <v>177</v>
      </c>
      <c r="B86" s="3"/>
      <c r="C86" s="3" t="s">
        <v>178</v>
      </c>
      <c r="D86" s="3"/>
      <c r="E86" s="3">
        <v>125682</v>
      </c>
      <c r="F86" s="3"/>
      <c r="G86" s="3">
        <v>254409</v>
      </c>
      <c r="H86" s="3"/>
      <c r="I86" s="3">
        <v>0</v>
      </c>
      <c r="J86" s="3"/>
      <c r="K86" s="3">
        <v>0</v>
      </c>
      <c r="L86" s="3"/>
      <c r="M86" s="3">
        <v>0</v>
      </c>
      <c r="N86" s="3"/>
      <c r="O86" s="3">
        <v>230820</v>
      </c>
      <c r="P86" s="3"/>
      <c r="Q86" s="3">
        <v>539147</v>
      </c>
      <c r="R86" s="3"/>
      <c r="S86" s="3">
        <v>28906</v>
      </c>
      <c r="T86" s="3"/>
      <c r="U86" s="3">
        <v>440507</v>
      </c>
      <c r="V86" s="3"/>
      <c r="W86" s="3">
        <v>69764</v>
      </c>
      <c r="X86" s="3"/>
      <c r="Y86" s="3">
        <v>0</v>
      </c>
      <c r="Z86" s="3"/>
      <c r="AA86" s="3">
        <v>29789</v>
      </c>
      <c r="AC86" s="3">
        <v>181363</v>
      </c>
      <c r="AD86" s="16" t="s">
        <v>177</v>
      </c>
      <c r="AF86" s="16" t="s">
        <v>178</v>
      </c>
      <c r="AG86" s="3"/>
      <c r="AH86" s="3">
        <v>22782</v>
      </c>
      <c r="AI86" s="3"/>
      <c r="AJ86" s="3">
        <v>0</v>
      </c>
      <c r="AK86" s="3"/>
      <c r="AL86" s="3">
        <v>0</v>
      </c>
      <c r="AM86" s="3"/>
      <c r="AN86" s="3">
        <v>9021</v>
      </c>
      <c r="AO86" s="3"/>
      <c r="AP86" s="3">
        <v>0</v>
      </c>
      <c r="AQ86" s="3"/>
      <c r="AR86" s="3">
        <v>0</v>
      </c>
      <c r="AS86" s="3"/>
      <c r="AT86" s="3">
        <v>0</v>
      </c>
      <c r="AU86" s="3"/>
      <c r="AV86" s="3">
        <v>0</v>
      </c>
      <c r="AW86" s="3"/>
      <c r="AX86" s="3">
        <v>0</v>
      </c>
      <c r="AY86" s="3"/>
      <c r="AZ86" s="3">
        <f t="shared" si="6"/>
        <v>1806508</v>
      </c>
      <c r="BA86" s="3"/>
      <c r="BB86" s="3">
        <v>890</v>
      </c>
      <c r="BC86" s="3"/>
      <c r="BD86" s="3">
        <v>0</v>
      </c>
      <c r="BE86" s="16" t="s">
        <v>177</v>
      </c>
      <c r="BG86" s="16" t="s">
        <v>178</v>
      </c>
      <c r="BH86" s="3"/>
      <c r="BI86" s="3"/>
      <c r="BJ86" s="3"/>
      <c r="BK86" s="3"/>
      <c r="BL86" s="3"/>
      <c r="BM86" s="3">
        <f t="shared" si="5"/>
        <v>1807398</v>
      </c>
      <c r="BN86" s="3"/>
      <c r="BO86" s="3">
        <f>GenRev!AS86-BM86</f>
        <v>116267</v>
      </c>
      <c r="BP86" s="3"/>
      <c r="BQ86" s="3">
        <v>943798</v>
      </c>
      <c r="BR86" s="3"/>
      <c r="BS86" s="3">
        <v>0</v>
      </c>
      <c r="BT86" s="3"/>
      <c r="BU86" s="3">
        <f t="shared" si="7"/>
        <v>1060065</v>
      </c>
      <c r="BV86" s="3"/>
      <c r="BW86" s="17">
        <f>+BU86-GenBS!AC86</f>
        <v>0</v>
      </c>
    </row>
    <row r="87" spans="1:75" s="16" customFormat="1" ht="12">
      <c r="A87" s="66" t="s">
        <v>376</v>
      </c>
      <c r="B87" s="3"/>
      <c r="C87" s="3" t="s">
        <v>179</v>
      </c>
      <c r="D87" s="3"/>
      <c r="E87" s="3">
        <v>47159</v>
      </c>
      <c r="F87" s="3"/>
      <c r="G87" s="3">
        <v>118322</v>
      </c>
      <c r="H87" s="3"/>
      <c r="I87" s="3">
        <v>3092674</v>
      </c>
      <c r="J87" s="3"/>
      <c r="K87" s="3">
        <v>210125</v>
      </c>
      <c r="L87" s="3"/>
      <c r="M87" s="3">
        <v>217</v>
      </c>
      <c r="N87" s="3"/>
      <c r="O87" s="3">
        <v>3452747</v>
      </c>
      <c r="P87" s="3"/>
      <c r="Q87" s="3">
        <v>1945183</v>
      </c>
      <c r="R87" s="3"/>
      <c r="S87" s="3">
        <v>27704</v>
      </c>
      <c r="T87" s="3"/>
      <c r="U87" s="3">
        <v>1247938</v>
      </c>
      <c r="V87" s="3"/>
      <c r="W87" s="3">
        <v>232421</v>
      </c>
      <c r="X87" s="3"/>
      <c r="Y87" s="3">
        <v>21260</v>
      </c>
      <c r="Z87" s="3"/>
      <c r="AA87" s="3">
        <v>63010</v>
      </c>
      <c r="AC87" s="3">
        <v>21673</v>
      </c>
      <c r="AD87" s="35" t="s">
        <v>376</v>
      </c>
      <c r="AF87" s="16" t="s">
        <v>179</v>
      </c>
      <c r="AG87" s="3"/>
      <c r="AH87" s="3">
        <v>98915</v>
      </c>
      <c r="AI87" s="3"/>
      <c r="AJ87" s="3">
        <v>0</v>
      </c>
      <c r="AK87" s="3"/>
      <c r="AL87" s="3">
        <v>0</v>
      </c>
      <c r="AM87" s="3"/>
      <c r="AN87" s="3">
        <v>0</v>
      </c>
      <c r="AO87" s="3"/>
      <c r="AP87" s="3">
        <v>0</v>
      </c>
      <c r="AQ87" s="3"/>
      <c r="AR87" s="3">
        <v>0</v>
      </c>
      <c r="AS87" s="3"/>
      <c r="AT87" s="3">
        <v>0</v>
      </c>
      <c r="AU87" s="3"/>
      <c r="AV87" s="3">
        <v>0</v>
      </c>
      <c r="AW87" s="3"/>
      <c r="AX87" s="3">
        <v>0</v>
      </c>
      <c r="AY87" s="3"/>
      <c r="AZ87" s="3">
        <f t="shared" si="6"/>
        <v>10532189</v>
      </c>
      <c r="BA87" s="3"/>
      <c r="BB87" s="3">
        <v>67404</v>
      </c>
      <c r="BC87" s="3"/>
      <c r="BD87" s="3">
        <v>0</v>
      </c>
      <c r="BE87" s="35" t="s">
        <v>376</v>
      </c>
      <c r="BG87" s="16" t="s">
        <v>179</v>
      </c>
      <c r="BH87" s="3"/>
      <c r="BI87" s="3"/>
      <c r="BJ87" s="3"/>
      <c r="BK87" s="3"/>
      <c r="BL87" s="3"/>
      <c r="BM87" s="3">
        <f t="shared" si="5"/>
        <v>10599593</v>
      </c>
      <c r="BN87" s="3"/>
      <c r="BO87" s="3">
        <f>GenRev!AS87-BM87</f>
        <v>134904</v>
      </c>
      <c r="BP87" s="3"/>
      <c r="BQ87" s="3">
        <v>861499</v>
      </c>
      <c r="BR87" s="3"/>
      <c r="BS87" s="3">
        <v>0</v>
      </c>
      <c r="BT87" s="3"/>
      <c r="BU87" s="3">
        <f t="shared" si="7"/>
        <v>996403</v>
      </c>
      <c r="BV87" s="3"/>
      <c r="BW87" s="17">
        <f>+BU87-GenBS!AC87</f>
        <v>0</v>
      </c>
    </row>
    <row r="88" spans="1:75" s="16" customFormat="1" ht="12">
      <c r="A88" s="3" t="s">
        <v>377</v>
      </c>
      <c r="B88" s="3"/>
      <c r="C88" s="3" t="s">
        <v>180</v>
      </c>
      <c r="D88" s="3"/>
      <c r="E88" s="3">
        <v>47233</v>
      </c>
      <c r="F88" s="3"/>
      <c r="G88" s="3">
        <v>642880</v>
      </c>
      <c r="H88" s="3"/>
      <c r="I88" s="3">
        <v>3189538</v>
      </c>
      <c r="J88" s="3"/>
      <c r="K88" s="3">
        <v>0</v>
      </c>
      <c r="L88" s="3"/>
      <c r="M88" s="3">
        <v>0</v>
      </c>
      <c r="N88" s="3"/>
      <c r="O88" s="3">
        <v>6418730</v>
      </c>
      <c r="P88" s="3"/>
      <c r="Q88" s="3">
        <v>2130916</v>
      </c>
      <c r="R88" s="3"/>
      <c r="S88" s="3">
        <v>26024</v>
      </c>
      <c r="T88" s="3"/>
      <c r="U88" s="3">
        <v>297771</v>
      </c>
      <c r="V88" s="3"/>
      <c r="W88" s="3">
        <v>260601</v>
      </c>
      <c r="X88" s="3"/>
      <c r="Y88" s="3">
        <v>46886</v>
      </c>
      <c r="Z88" s="3"/>
      <c r="AA88" s="3">
        <v>206584</v>
      </c>
      <c r="AC88" s="3">
        <v>0</v>
      </c>
      <c r="AD88" s="16" t="s">
        <v>377</v>
      </c>
      <c r="AF88" s="16" t="s">
        <v>180</v>
      </c>
      <c r="AG88" s="3"/>
      <c r="AH88" s="3">
        <v>0</v>
      </c>
      <c r="AI88" s="3"/>
      <c r="AJ88" s="3">
        <v>0</v>
      </c>
      <c r="AK88" s="3"/>
      <c r="AL88" s="3">
        <v>0</v>
      </c>
      <c r="AM88" s="3"/>
      <c r="AN88" s="3">
        <v>0</v>
      </c>
      <c r="AO88" s="3"/>
      <c r="AP88" s="3">
        <v>0</v>
      </c>
      <c r="AQ88" s="3"/>
      <c r="AR88" s="3">
        <v>43673</v>
      </c>
      <c r="AS88" s="3"/>
      <c r="AT88" s="3">
        <v>0</v>
      </c>
      <c r="AU88" s="3"/>
      <c r="AV88" s="3">
        <v>55866</v>
      </c>
      <c r="AW88" s="3"/>
      <c r="AX88" s="3">
        <v>7861</v>
      </c>
      <c r="AY88" s="3"/>
      <c r="AZ88" s="3">
        <f t="shared" si="6"/>
        <v>13327330</v>
      </c>
      <c r="BA88" s="3"/>
      <c r="BB88" s="3">
        <v>0</v>
      </c>
      <c r="BC88" s="3"/>
      <c r="BD88" s="3">
        <v>0</v>
      </c>
      <c r="BE88" s="16" t="s">
        <v>377</v>
      </c>
      <c r="BG88" s="16" t="s">
        <v>180</v>
      </c>
      <c r="BH88" s="3"/>
      <c r="BI88" s="3"/>
      <c r="BJ88" s="3"/>
      <c r="BK88" s="3"/>
      <c r="BL88" s="3"/>
      <c r="BM88" s="3">
        <f t="shared" si="5"/>
        <v>13327330</v>
      </c>
      <c r="BN88" s="3"/>
      <c r="BO88" s="3">
        <f>GenRev!AS88-BM88</f>
        <v>166162</v>
      </c>
      <c r="BP88" s="3"/>
      <c r="BQ88" s="3">
        <v>1548458</v>
      </c>
      <c r="BR88" s="3"/>
      <c r="BS88" s="3">
        <v>0</v>
      </c>
      <c r="BT88" s="3"/>
      <c r="BU88" s="3">
        <f t="shared" si="7"/>
        <v>1714620</v>
      </c>
      <c r="BV88" s="3"/>
      <c r="BW88" s="17">
        <f>+BU88-GenBS!AC88</f>
        <v>0</v>
      </c>
    </row>
    <row r="89" spans="1:75" s="16" customFormat="1" ht="12">
      <c r="A89" s="3" t="s">
        <v>378</v>
      </c>
      <c r="B89" s="3"/>
      <c r="C89" s="3" t="s">
        <v>181</v>
      </c>
      <c r="D89" s="3"/>
      <c r="E89" s="3">
        <v>47324</v>
      </c>
      <c r="F89" s="3"/>
      <c r="G89" s="3">
        <v>0</v>
      </c>
      <c r="H89" s="3"/>
      <c r="I89" s="3">
        <v>7878187</v>
      </c>
      <c r="J89" s="3"/>
      <c r="K89" s="3">
        <v>106949</v>
      </c>
      <c r="L89" s="3"/>
      <c r="M89" s="3">
        <v>0</v>
      </c>
      <c r="N89" s="3"/>
      <c r="O89" s="3">
        <v>7437566</v>
      </c>
      <c r="P89" s="3"/>
      <c r="Q89" s="3">
        <v>3625212</v>
      </c>
      <c r="R89" s="3"/>
      <c r="S89" s="3">
        <v>31934</v>
      </c>
      <c r="T89" s="3"/>
      <c r="U89" s="3">
        <v>1545253</v>
      </c>
      <c r="V89" s="3"/>
      <c r="W89" s="3">
        <v>631599</v>
      </c>
      <c r="X89" s="3"/>
      <c r="Y89" s="3">
        <v>409481</v>
      </c>
      <c r="Z89" s="3"/>
      <c r="AA89" s="3">
        <v>284269</v>
      </c>
      <c r="AC89" s="3">
        <v>0</v>
      </c>
      <c r="AD89" s="16" t="s">
        <v>378</v>
      </c>
      <c r="AF89" s="16" t="s">
        <v>181</v>
      </c>
      <c r="AG89" s="3"/>
      <c r="AH89" s="3">
        <v>642665</v>
      </c>
      <c r="AI89" s="3"/>
      <c r="AJ89" s="3">
        <v>0</v>
      </c>
      <c r="AK89" s="3"/>
      <c r="AL89" s="3">
        <v>0</v>
      </c>
      <c r="AM89" s="3"/>
      <c r="AN89" s="3">
        <v>6809254</v>
      </c>
      <c r="AO89" s="3"/>
      <c r="AP89" s="3">
        <v>0</v>
      </c>
      <c r="AQ89" s="3"/>
      <c r="AR89" s="3">
        <v>0</v>
      </c>
      <c r="AS89" s="3"/>
      <c r="AT89" s="3">
        <v>0</v>
      </c>
      <c r="AU89" s="3"/>
      <c r="AV89" s="3">
        <v>41000</v>
      </c>
      <c r="AW89" s="3"/>
      <c r="AX89" s="3">
        <v>106400</v>
      </c>
      <c r="AY89" s="3"/>
      <c r="AZ89" s="3">
        <f t="shared" si="6"/>
        <v>29549769</v>
      </c>
      <c r="BA89" s="3"/>
      <c r="BB89" s="3">
        <v>0</v>
      </c>
      <c r="BC89" s="3"/>
      <c r="BD89" s="3">
        <v>0</v>
      </c>
      <c r="BE89" s="16" t="s">
        <v>378</v>
      </c>
      <c r="BG89" s="16" t="s">
        <v>181</v>
      </c>
      <c r="BH89" s="3"/>
      <c r="BI89" s="3"/>
      <c r="BJ89" s="3"/>
      <c r="BK89" s="3"/>
      <c r="BL89" s="3"/>
      <c r="BM89" s="3">
        <f t="shared" si="5"/>
        <v>29549769</v>
      </c>
      <c r="BN89" s="3"/>
      <c r="BO89" s="3">
        <f>GenRev!AS89-BM89</f>
        <v>1851349</v>
      </c>
      <c r="BP89" s="3"/>
      <c r="BQ89" s="3">
        <v>3908234</v>
      </c>
      <c r="BR89" s="3"/>
      <c r="BS89" s="3">
        <v>0</v>
      </c>
      <c r="BT89" s="3"/>
      <c r="BU89" s="3">
        <f t="shared" si="7"/>
        <v>5759583</v>
      </c>
      <c r="BV89" s="3"/>
      <c r="BW89" s="17">
        <f>+BU89-GenBS!AC89</f>
        <v>0</v>
      </c>
    </row>
    <row r="90" spans="1:75" s="16" customFormat="1" ht="12">
      <c r="A90" s="3" t="s">
        <v>379</v>
      </c>
      <c r="B90" s="3"/>
      <c r="C90" s="3" t="s">
        <v>182</v>
      </c>
      <c r="D90" s="3"/>
      <c r="E90" s="3">
        <v>47407</v>
      </c>
      <c r="F90" s="3"/>
      <c r="G90" s="3">
        <v>69834</v>
      </c>
      <c r="H90" s="3"/>
      <c r="I90" s="3">
        <v>1308781</v>
      </c>
      <c r="J90" s="3"/>
      <c r="K90" s="3">
        <v>0</v>
      </c>
      <c r="L90" s="3"/>
      <c r="M90" s="3">
        <v>0</v>
      </c>
      <c r="N90" s="3"/>
      <c r="O90" s="3">
        <v>1065772</v>
      </c>
      <c r="P90" s="3"/>
      <c r="Q90" s="3">
        <v>1728669</v>
      </c>
      <c r="R90" s="3"/>
      <c r="S90" s="3">
        <v>52168</v>
      </c>
      <c r="T90" s="3"/>
      <c r="U90" s="3">
        <v>600968</v>
      </c>
      <c r="V90" s="3"/>
      <c r="W90" s="3">
        <v>227251</v>
      </c>
      <c r="X90" s="3"/>
      <c r="Y90" s="3">
        <v>0</v>
      </c>
      <c r="Z90" s="3"/>
      <c r="AA90" s="3">
        <v>82915</v>
      </c>
      <c r="AC90" s="3">
        <v>89779</v>
      </c>
      <c r="AD90" s="16" t="s">
        <v>379</v>
      </c>
      <c r="AF90" s="16" t="s">
        <v>182</v>
      </c>
      <c r="AG90" s="3"/>
      <c r="AH90" s="3">
        <v>13329</v>
      </c>
      <c r="AI90" s="3"/>
      <c r="AJ90" s="3">
        <v>0</v>
      </c>
      <c r="AK90" s="3"/>
      <c r="AL90" s="3">
        <v>0</v>
      </c>
      <c r="AM90" s="3"/>
      <c r="AN90" s="3">
        <v>3996</v>
      </c>
      <c r="AO90" s="3"/>
      <c r="AP90" s="3">
        <v>0</v>
      </c>
      <c r="AQ90" s="3"/>
      <c r="AR90" s="3">
        <v>0</v>
      </c>
      <c r="AS90" s="3"/>
      <c r="AT90" s="3">
        <v>0</v>
      </c>
      <c r="AU90" s="3"/>
      <c r="AV90" s="3">
        <v>0</v>
      </c>
      <c r="AW90" s="3"/>
      <c r="AX90" s="3">
        <v>0</v>
      </c>
      <c r="AY90" s="3"/>
      <c r="AZ90" s="3">
        <f t="shared" si="6"/>
        <v>5243462</v>
      </c>
      <c r="BA90" s="3"/>
      <c r="BB90" s="3">
        <v>0</v>
      </c>
      <c r="BC90" s="3"/>
      <c r="BD90" s="3">
        <v>0</v>
      </c>
      <c r="BE90" s="16" t="s">
        <v>379</v>
      </c>
      <c r="BG90" s="16" t="s">
        <v>182</v>
      </c>
      <c r="BH90" s="3"/>
      <c r="BI90" s="3"/>
      <c r="BJ90" s="3"/>
      <c r="BK90" s="3"/>
      <c r="BL90" s="3"/>
      <c r="BM90" s="3">
        <f t="shared" si="5"/>
        <v>5243462</v>
      </c>
      <c r="BN90" s="3"/>
      <c r="BO90" s="3">
        <f>GenRev!AS90-BM90</f>
        <v>-68990</v>
      </c>
      <c r="BP90" s="3"/>
      <c r="BQ90" s="3">
        <v>379220</v>
      </c>
      <c r="BR90" s="3"/>
      <c r="BS90" s="3">
        <v>0</v>
      </c>
      <c r="BT90" s="3"/>
      <c r="BU90" s="3">
        <f t="shared" si="7"/>
        <v>310230</v>
      </c>
      <c r="BV90" s="3"/>
      <c r="BW90" s="17">
        <f>+BU90-GenBS!AC90</f>
        <v>0</v>
      </c>
    </row>
    <row r="91" spans="1:75" s="16" customFormat="1" ht="12">
      <c r="A91" s="3" t="s">
        <v>380</v>
      </c>
      <c r="B91" s="3"/>
      <c r="C91" s="3" t="s">
        <v>21</v>
      </c>
      <c r="D91" s="3"/>
      <c r="E91" s="3">
        <v>47480</v>
      </c>
      <c r="F91" s="3"/>
      <c r="G91" s="3">
        <v>92447</v>
      </c>
      <c r="H91" s="3"/>
      <c r="I91" s="3">
        <v>390582</v>
      </c>
      <c r="J91" s="3"/>
      <c r="K91" s="3">
        <v>0</v>
      </c>
      <c r="L91" s="3"/>
      <c r="M91" s="3">
        <v>0</v>
      </c>
      <c r="N91" s="3"/>
      <c r="O91" s="3">
        <v>992405</v>
      </c>
      <c r="P91" s="3"/>
      <c r="Q91" s="3">
        <v>232169</v>
      </c>
      <c r="R91" s="3"/>
      <c r="S91" s="3">
        <v>19510</v>
      </c>
      <c r="T91" s="3"/>
      <c r="U91" s="3">
        <v>192132</v>
      </c>
      <c r="V91" s="3"/>
      <c r="W91" s="3">
        <v>159040</v>
      </c>
      <c r="X91" s="3"/>
      <c r="Y91" s="3">
        <v>0</v>
      </c>
      <c r="Z91" s="3"/>
      <c r="AA91" s="3">
        <v>22432</v>
      </c>
      <c r="AC91" s="3">
        <v>0</v>
      </c>
      <c r="AD91" s="16" t="s">
        <v>380</v>
      </c>
      <c r="AF91" s="16" t="s">
        <v>21</v>
      </c>
      <c r="AG91" s="3"/>
      <c r="AH91" s="3">
        <v>106638</v>
      </c>
      <c r="AI91" s="3"/>
      <c r="AJ91" s="3">
        <v>0</v>
      </c>
      <c r="AK91" s="3"/>
      <c r="AL91" s="3">
        <v>0</v>
      </c>
      <c r="AM91" s="3"/>
      <c r="AN91" s="3">
        <v>0</v>
      </c>
      <c r="AO91" s="3"/>
      <c r="AP91" s="3">
        <v>2324</v>
      </c>
      <c r="AQ91" s="3"/>
      <c r="AR91" s="3">
        <v>0</v>
      </c>
      <c r="AS91" s="3"/>
      <c r="AT91" s="3">
        <v>0</v>
      </c>
      <c r="AU91" s="3"/>
      <c r="AV91" s="3">
        <v>0</v>
      </c>
      <c r="AW91" s="3"/>
      <c r="AX91" s="3">
        <v>0</v>
      </c>
      <c r="AY91" s="3"/>
      <c r="AZ91" s="3">
        <f t="shared" si="6"/>
        <v>2209679</v>
      </c>
      <c r="BA91" s="3"/>
      <c r="BB91" s="3">
        <v>0</v>
      </c>
      <c r="BC91" s="3"/>
      <c r="BD91" s="3">
        <v>0</v>
      </c>
      <c r="BE91" s="16" t="s">
        <v>380</v>
      </c>
      <c r="BG91" s="16" t="s">
        <v>21</v>
      </c>
      <c r="BH91" s="3"/>
      <c r="BI91" s="3"/>
      <c r="BJ91" s="3"/>
      <c r="BK91" s="3"/>
      <c r="BL91" s="3"/>
      <c r="BM91" s="3">
        <f t="shared" si="5"/>
        <v>2209679</v>
      </c>
      <c r="BN91" s="3"/>
      <c r="BO91" s="3">
        <f>GenRev!AS91-BM91</f>
        <v>-159520</v>
      </c>
      <c r="BP91" s="3"/>
      <c r="BQ91" s="3">
        <v>1203951</v>
      </c>
      <c r="BR91" s="3"/>
      <c r="BS91" s="3">
        <v>0</v>
      </c>
      <c r="BT91" s="3"/>
      <c r="BU91" s="3">
        <f t="shared" si="7"/>
        <v>1044431</v>
      </c>
      <c r="BV91" s="3"/>
      <c r="BW91" s="17">
        <f>+BU91-GenBS!AC91</f>
        <v>0</v>
      </c>
    </row>
    <row r="92" spans="1:75" s="16" customFormat="1" ht="12">
      <c r="A92" s="3" t="s">
        <v>381</v>
      </c>
      <c r="B92" s="3"/>
      <c r="C92" s="3" t="s">
        <v>183</v>
      </c>
      <c r="D92" s="3"/>
      <c r="E92" s="3">
        <v>47779</v>
      </c>
      <c r="F92" s="3"/>
      <c r="G92" s="3">
        <v>98065</v>
      </c>
      <c r="H92" s="3"/>
      <c r="I92" s="3">
        <v>435425</v>
      </c>
      <c r="J92" s="3"/>
      <c r="K92" s="3">
        <v>0</v>
      </c>
      <c r="L92" s="3"/>
      <c r="M92" s="3">
        <v>6200</v>
      </c>
      <c r="N92" s="3"/>
      <c r="O92" s="3">
        <v>1430794</v>
      </c>
      <c r="P92" s="3"/>
      <c r="Q92" s="3">
        <v>3085345</v>
      </c>
      <c r="R92" s="3"/>
      <c r="S92" s="3">
        <v>18227</v>
      </c>
      <c r="T92" s="3"/>
      <c r="U92" s="3">
        <v>1040979</v>
      </c>
      <c r="V92" s="3"/>
      <c r="W92" s="3">
        <v>240702</v>
      </c>
      <c r="X92" s="3"/>
      <c r="Y92" s="3">
        <v>0</v>
      </c>
      <c r="Z92" s="3"/>
      <c r="AA92" s="3">
        <v>13131</v>
      </c>
      <c r="AC92" s="3">
        <v>0</v>
      </c>
      <c r="AD92" s="16" t="s">
        <v>381</v>
      </c>
      <c r="AF92" s="16" t="s">
        <v>183</v>
      </c>
      <c r="AG92" s="3"/>
      <c r="AH92" s="3">
        <v>0</v>
      </c>
      <c r="AI92" s="3"/>
      <c r="AJ92" s="3">
        <v>0</v>
      </c>
      <c r="AK92" s="3"/>
      <c r="AL92" s="3">
        <v>0</v>
      </c>
      <c r="AM92" s="3"/>
      <c r="AN92" s="3">
        <v>0</v>
      </c>
      <c r="AO92" s="3"/>
      <c r="AP92" s="3">
        <v>0</v>
      </c>
      <c r="AQ92" s="3"/>
      <c r="AR92" s="3">
        <v>18120</v>
      </c>
      <c r="AS92" s="3"/>
      <c r="AT92" s="3">
        <v>0</v>
      </c>
      <c r="AU92" s="3"/>
      <c r="AV92" s="3">
        <v>3632</v>
      </c>
      <c r="AW92" s="3"/>
      <c r="AX92" s="3">
        <v>974</v>
      </c>
      <c r="AY92" s="3"/>
      <c r="AZ92" s="3">
        <f t="shared" si="6"/>
        <v>6391594</v>
      </c>
      <c r="BA92" s="3"/>
      <c r="BB92" s="3">
        <v>0</v>
      </c>
      <c r="BC92" s="3"/>
      <c r="BD92" s="3">
        <v>0</v>
      </c>
      <c r="BE92" s="16" t="s">
        <v>381</v>
      </c>
      <c r="BG92" s="16" t="s">
        <v>183</v>
      </c>
      <c r="BH92" s="3"/>
      <c r="BI92" s="3"/>
      <c r="BJ92" s="3"/>
      <c r="BK92" s="3"/>
      <c r="BL92" s="3"/>
      <c r="BM92" s="3">
        <f t="shared" si="5"/>
        <v>6391594</v>
      </c>
      <c r="BN92" s="3"/>
      <c r="BO92" s="3">
        <f>GenRev!AS92-BM92</f>
        <v>318299</v>
      </c>
      <c r="BP92" s="3"/>
      <c r="BQ92" s="3">
        <v>2806572</v>
      </c>
      <c r="BR92" s="3"/>
      <c r="BS92" s="3">
        <v>0</v>
      </c>
      <c r="BT92" s="3"/>
      <c r="BU92" s="3">
        <f t="shared" si="7"/>
        <v>3124871</v>
      </c>
      <c r="BV92" s="3"/>
      <c r="BW92" s="17">
        <f>+BU92-GenBS!AC92</f>
        <v>0</v>
      </c>
    </row>
    <row r="93" spans="1:75" s="16" customFormat="1" ht="12">
      <c r="A93" s="3" t="s">
        <v>382</v>
      </c>
      <c r="B93" s="3"/>
      <c r="C93" s="3" t="s">
        <v>184</v>
      </c>
      <c r="D93" s="3"/>
      <c r="E93" s="3">
        <v>47811</v>
      </c>
      <c r="F93" s="3"/>
      <c r="G93" s="3">
        <v>549392</v>
      </c>
      <c r="H93" s="3"/>
      <c r="I93" s="3">
        <v>3635722</v>
      </c>
      <c r="J93" s="3"/>
      <c r="K93" s="3">
        <v>0</v>
      </c>
      <c r="L93" s="3"/>
      <c r="M93" s="3">
        <v>0</v>
      </c>
      <c r="N93" s="3"/>
      <c r="O93" s="3">
        <v>674290</v>
      </c>
      <c r="P93" s="3"/>
      <c r="Q93" s="3">
        <v>505107</v>
      </c>
      <c r="R93" s="3"/>
      <c r="S93" s="3">
        <v>27987</v>
      </c>
      <c r="T93" s="3"/>
      <c r="U93" s="3">
        <v>360344</v>
      </c>
      <c r="V93" s="3"/>
      <c r="W93" s="3">
        <v>107940</v>
      </c>
      <c r="X93" s="3"/>
      <c r="Y93" s="3">
        <v>0</v>
      </c>
      <c r="Z93" s="3"/>
      <c r="AA93" s="3">
        <v>42375</v>
      </c>
      <c r="AC93" s="3">
        <v>0</v>
      </c>
      <c r="AD93" s="16" t="s">
        <v>382</v>
      </c>
      <c r="AF93" s="16" t="s">
        <v>184</v>
      </c>
      <c r="AG93" s="3"/>
      <c r="AH93" s="3">
        <v>890</v>
      </c>
      <c r="AI93" s="3"/>
      <c r="AJ93" s="3">
        <v>0</v>
      </c>
      <c r="AK93" s="3"/>
      <c r="AL93" s="3">
        <v>0</v>
      </c>
      <c r="AM93" s="3"/>
      <c r="AN93" s="3">
        <v>0</v>
      </c>
      <c r="AO93" s="3"/>
      <c r="AP93" s="3">
        <v>0</v>
      </c>
      <c r="AQ93" s="3"/>
      <c r="AR93" s="3">
        <v>0</v>
      </c>
      <c r="AS93" s="3"/>
      <c r="AT93" s="3">
        <v>0</v>
      </c>
      <c r="AU93" s="3"/>
      <c r="AV93" s="3">
        <v>0</v>
      </c>
      <c r="AW93" s="3"/>
      <c r="AX93" s="3">
        <v>0</v>
      </c>
      <c r="AY93" s="3"/>
      <c r="AZ93" s="3">
        <f t="shared" si="6"/>
        <v>5904047</v>
      </c>
      <c r="BA93" s="3"/>
      <c r="BB93" s="3">
        <v>0</v>
      </c>
      <c r="BC93" s="3"/>
      <c r="BD93" s="3">
        <v>0</v>
      </c>
      <c r="BE93" s="16" t="s">
        <v>382</v>
      </c>
      <c r="BG93" s="16" t="s">
        <v>184</v>
      </c>
      <c r="BH93" s="3"/>
      <c r="BI93" s="3"/>
      <c r="BJ93" s="3"/>
      <c r="BK93" s="3"/>
      <c r="BL93" s="3"/>
      <c r="BM93" s="3">
        <f t="shared" si="5"/>
        <v>5904047</v>
      </c>
      <c r="BN93" s="3"/>
      <c r="BO93" s="3">
        <f>GenRev!AS93-BM93</f>
        <v>-506566</v>
      </c>
      <c r="BP93" s="3"/>
      <c r="BQ93" s="3">
        <v>474093</v>
      </c>
      <c r="BR93" s="3"/>
      <c r="BS93" s="3">
        <v>0</v>
      </c>
      <c r="BT93" s="3"/>
      <c r="BU93" s="3">
        <f t="shared" si="7"/>
        <v>-32473</v>
      </c>
      <c r="BV93" s="3"/>
      <c r="BW93" s="17">
        <f>+BU93-GenBS!AC93</f>
        <v>0</v>
      </c>
    </row>
    <row r="94" spans="1:75" s="16" customFormat="1" ht="12">
      <c r="A94" s="3" t="s">
        <v>383</v>
      </c>
      <c r="B94" s="3"/>
      <c r="C94" s="3" t="s">
        <v>154</v>
      </c>
      <c r="D94" s="3"/>
      <c r="E94" s="3">
        <v>47860</v>
      </c>
      <c r="F94" s="3"/>
      <c r="G94" s="3">
        <v>253450</v>
      </c>
      <c r="H94" s="3"/>
      <c r="I94" s="3">
        <v>2633556</v>
      </c>
      <c r="J94" s="3"/>
      <c r="K94" s="3">
        <v>447223</v>
      </c>
      <c r="L94" s="3"/>
      <c r="M94" s="3">
        <v>8672</v>
      </c>
      <c r="N94" s="3"/>
      <c r="O94" s="3">
        <v>2941775</v>
      </c>
      <c r="P94" s="3"/>
      <c r="Q94" s="3">
        <v>1033414</v>
      </c>
      <c r="R94" s="3"/>
      <c r="S94" s="3">
        <v>16082</v>
      </c>
      <c r="T94" s="3"/>
      <c r="U94" s="3">
        <v>1533690</v>
      </c>
      <c r="V94" s="3"/>
      <c r="W94" s="3">
        <v>258978</v>
      </c>
      <c r="X94" s="3"/>
      <c r="Y94" s="3">
        <v>0</v>
      </c>
      <c r="Z94" s="3"/>
      <c r="AA94" s="3">
        <v>117239</v>
      </c>
      <c r="AC94" s="3">
        <v>151742</v>
      </c>
      <c r="AD94" s="16" t="s">
        <v>383</v>
      </c>
      <c r="AF94" s="16" t="s">
        <v>154</v>
      </c>
      <c r="AG94" s="3"/>
      <c r="AH94" s="3">
        <v>822999</v>
      </c>
      <c r="AI94" s="3"/>
      <c r="AJ94" s="3">
        <v>0</v>
      </c>
      <c r="AK94" s="3"/>
      <c r="AL94" s="3">
        <v>0</v>
      </c>
      <c r="AM94" s="3"/>
      <c r="AN94" s="3">
        <v>64962</v>
      </c>
      <c r="AO94" s="3"/>
      <c r="AP94" s="3">
        <v>0</v>
      </c>
      <c r="AQ94" s="3"/>
      <c r="AR94" s="3">
        <v>0</v>
      </c>
      <c r="AS94" s="3"/>
      <c r="AT94" s="3">
        <v>0</v>
      </c>
      <c r="AU94" s="3"/>
      <c r="AV94" s="3">
        <v>0</v>
      </c>
      <c r="AW94" s="3"/>
      <c r="AX94" s="3">
        <v>0</v>
      </c>
      <c r="AY94" s="3"/>
      <c r="AZ94" s="3">
        <f t="shared" si="6"/>
        <v>10283782</v>
      </c>
      <c r="BA94" s="3"/>
      <c r="BB94" s="3">
        <v>570</v>
      </c>
      <c r="BC94" s="3"/>
      <c r="BD94" s="3">
        <v>0</v>
      </c>
      <c r="BE94" s="16" t="s">
        <v>383</v>
      </c>
      <c r="BG94" s="16" t="s">
        <v>154</v>
      </c>
      <c r="BH94" s="3"/>
      <c r="BI94" s="3"/>
      <c r="BJ94" s="3"/>
      <c r="BK94" s="3"/>
      <c r="BL94" s="3"/>
      <c r="BM94" s="3">
        <f t="shared" si="5"/>
        <v>10284352</v>
      </c>
      <c r="BN94" s="3"/>
      <c r="BO94" s="3">
        <f>GenRev!AS94-BM94</f>
        <v>154232</v>
      </c>
      <c r="BP94" s="3"/>
      <c r="BQ94" s="3">
        <v>509119</v>
      </c>
      <c r="BR94" s="3"/>
      <c r="BS94" s="3">
        <v>0</v>
      </c>
      <c r="BT94" s="3"/>
      <c r="BU94" s="3">
        <f t="shared" si="7"/>
        <v>663351</v>
      </c>
      <c r="BV94" s="3"/>
      <c r="BW94" s="17">
        <f>+BU94-GenBS!AC94</f>
        <v>0</v>
      </c>
    </row>
    <row r="95" spans="1:75" s="16" customFormat="1" ht="12">
      <c r="A95" s="3" t="s">
        <v>368</v>
      </c>
      <c r="B95" s="3"/>
      <c r="C95" s="3" t="s">
        <v>185</v>
      </c>
      <c r="D95" s="3"/>
      <c r="E95" s="3">
        <v>47910</v>
      </c>
      <c r="F95" s="3"/>
      <c r="G95" s="3">
        <v>9343</v>
      </c>
      <c r="H95" s="3"/>
      <c r="I95" s="3">
        <v>24570</v>
      </c>
      <c r="J95" s="3"/>
      <c r="K95" s="3">
        <v>0</v>
      </c>
      <c r="L95" s="3"/>
      <c r="M95" s="3">
        <v>0</v>
      </c>
      <c r="N95" s="3"/>
      <c r="O95" s="3">
        <v>387794</v>
      </c>
      <c r="P95" s="3"/>
      <c r="Q95" s="3">
        <v>291603</v>
      </c>
      <c r="R95" s="3"/>
      <c r="S95" s="3">
        <v>35132</v>
      </c>
      <c r="T95" s="3"/>
      <c r="U95" s="3">
        <v>224569</v>
      </c>
      <c r="V95" s="3"/>
      <c r="W95" s="3">
        <v>137026</v>
      </c>
      <c r="X95" s="3"/>
      <c r="Y95" s="3">
        <v>0</v>
      </c>
      <c r="Z95" s="3"/>
      <c r="AA95" s="3">
        <v>27074</v>
      </c>
      <c r="AC95" s="3">
        <v>0</v>
      </c>
      <c r="AD95" s="16" t="s">
        <v>368</v>
      </c>
      <c r="AF95" s="16" t="s">
        <v>185</v>
      </c>
      <c r="AG95" s="3"/>
      <c r="AH95" s="3">
        <v>137065</v>
      </c>
      <c r="AI95" s="3"/>
      <c r="AJ95" s="3">
        <v>0</v>
      </c>
      <c r="AK95" s="3"/>
      <c r="AL95" s="3">
        <v>0</v>
      </c>
      <c r="AM95" s="3"/>
      <c r="AN95" s="3">
        <v>0</v>
      </c>
      <c r="AO95" s="3"/>
      <c r="AP95" s="3">
        <v>0</v>
      </c>
      <c r="AQ95" s="3"/>
      <c r="AR95" s="3">
        <v>0</v>
      </c>
      <c r="AS95" s="3"/>
      <c r="AT95" s="3">
        <v>0</v>
      </c>
      <c r="AU95" s="3"/>
      <c r="AV95" s="3">
        <v>0</v>
      </c>
      <c r="AW95" s="3"/>
      <c r="AX95" s="3">
        <v>0</v>
      </c>
      <c r="AY95" s="3"/>
      <c r="AZ95" s="3">
        <f t="shared" si="6"/>
        <v>1274176</v>
      </c>
      <c r="BA95" s="3"/>
      <c r="BB95" s="3">
        <v>0</v>
      </c>
      <c r="BC95" s="3"/>
      <c r="BD95" s="3">
        <v>0</v>
      </c>
      <c r="BE95" s="16" t="s">
        <v>368</v>
      </c>
      <c r="BG95" s="16" t="s">
        <v>185</v>
      </c>
      <c r="BH95" s="3"/>
      <c r="BI95" s="3"/>
      <c r="BJ95" s="3"/>
      <c r="BK95" s="3"/>
      <c r="BL95" s="3"/>
      <c r="BM95" s="3">
        <f t="shared" si="5"/>
        <v>1274176</v>
      </c>
      <c r="BN95" s="3"/>
      <c r="BO95" s="3">
        <f>GenRev!AS95-BM95</f>
        <v>169557</v>
      </c>
      <c r="BP95" s="3"/>
      <c r="BQ95" s="3">
        <v>112130</v>
      </c>
      <c r="BR95" s="3"/>
      <c r="BS95" s="3">
        <v>0</v>
      </c>
      <c r="BT95" s="3"/>
      <c r="BU95" s="3">
        <f t="shared" si="7"/>
        <v>281687</v>
      </c>
      <c r="BV95" s="3"/>
      <c r="BW95" s="17">
        <f>+BU95-GenBS!AC95</f>
        <v>0</v>
      </c>
    </row>
    <row r="96" spans="1:75" s="16" customFormat="1" ht="12">
      <c r="A96" s="3" t="s">
        <v>369</v>
      </c>
      <c r="B96" s="3"/>
      <c r="C96" s="3" t="s">
        <v>187</v>
      </c>
      <c r="D96" s="3"/>
      <c r="E96" s="3"/>
      <c r="F96" s="3"/>
      <c r="G96" s="3">
        <v>0</v>
      </c>
      <c r="H96" s="3"/>
      <c r="I96" s="3">
        <v>2711499</v>
      </c>
      <c r="J96" s="3"/>
      <c r="K96" s="3">
        <v>0</v>
      </c>
      <c r="L96" s="3"/>
      <c r="M96" s="3">
        <v>0</v>
      </c>
      <c r="N96" s="3"/>
      <c r="O96" s="3">
        <v>1863992</v>
      </c>
      <c r="P96" s="3"/>
      <c r="Q96" s="3">
        <v>4004201</v>
      </c>
      <c r="R96" s="3"/>
      <c r="S96" s="3">
        <v>12679</v>
      </c>
      <c r="T96" s="3"/>
      <c r="U96" s="3">
        <v>877160</v>
      </c>
      <c r="V96" s="3"/>
      <c r="W96" s="3">
        <v>230412</v>
      </c>
      <c r="X96" s="3"/>
      <c r="Y96" s="3">
        <v>8033</v>
      </c>
      <c r="Z96" s="3"/>
      <c r="AA96" s="3">
        <v>88358</v>
      </c>
      <c r="AB96" s="3"/>
      <c r="AC96" s="3">
        <v>0</v>
      </c>
      <c r="AD96" s="3" t="s">
        <v>369</v>
      </c>
      <c r="AE96" s="3"/>
      <c r="AF96" s="3" t="s">
        <v>187</v>
      </c>
      <c r="AG96" s="3"/>
      <c r="AH96" s="3">
        <v>253562</v>
      </c>
      <c r="AI96" s="3"/>
      <c r="AJ96" s="3">
        <v>0</v>
      </c>
      <c r="AK96" s="3"/>
      <c r="AL96" s="3">
        <v>0</v>
      </c>
      <c r="AM96" s="3"/>
      <c r="AN96" s="3">
        <v>0</v>
      </c>
      <c r="AO96" s="3"/>
      <c r="AP96" s="3">
        <v>0</v>
      </c>
      <c r="AQ96" s="3"/>
      <c r="AR96" s="3">
        <v>0</v>
      </c>
      <c r="AS96" s="3"/>
      <c r="AT96" s="3">
        <v>0</v>
      </c>
      <c r="AU96" s="3"/>
      <c r="AV96" s="3">
        <v>14413</v>
      </c>
      <c r="AW96" s="3"/>
      <c r="AX96" s="3">
        <v>3164</v>
      </c>
      <c r="AY96" s="3"/>
      <c r="AZ96" s="3">
        <f t="shared" si="6"/>
        <v>10067473</v>
      </c>
      <c r="BA96" s="3"/>
      <c r="BB96" s="3">
        <v>0</v>
      </c>
      <c r="BC96" s="3"/>
      <c r="BD96" s="3">
        <v>0</v>
      </c>
      <c r="BE96" s="3" t="s">
        <v>369</v>
      </c>
      <c r="BF96" s="3"/>
      <c r="BG96" s="3" t="s">
        <v>187</v>
      </c>
      <c r="BH96" s="3"/>
      <c r="BI96" s="3"/>
      <c r="BJ96" s="3"/>
      <c r="BK96" s="3"/>
      <c r="BL96" s="3"/>
      <c r="BM96" s="3">
        <f t="shared" si="5"/>
        <v>10067473</v>
      </c>
      <c r="BN96" s="3"/>
      <c r="BO96" s="3">
        <f>GenRev!AS96-BM96</f>
        <v>-225508</v>
      </c>
      <c r="BP96" s="3"/>
      <c r="BQ96" s="3">
        <v>18759</v>
      </c>
      <c r="BR96" s="3"/>
      <c r="BS96" s="3">
        <v>0</v>
      </c>
      <c r="BT96" s="3"/>
      <c r="BU96" s="3">
        <f>+BQ96+BO96-BS96</f>
        <v>-206749</v>
      </c>
      <c r="BV96" s="3"/>
      <c r="BW96" s="17">
        <f>+BU96-GenBS!AC96</f>
        <v>0</v>
      </c>
    </row>
    <row r="97" spans="1:75" s="16" customFormat="1" ht="12">
      <c r="A97" s="3" t="s">
        <v>370</v>
      </c>
      <c r="B97" s="3"/>
      <c r="C97" s="3" t="s">
        <v>188</v>
      </c>
      <c r="D97" s="3"/>
      <c r="E97" s="3">
        <v>48058</v>
      </c>
      <c r="F97" s="3"/>
      <c r="G97" s="3">
        <v>0</v>
      </c>
      <c r="H97" s="3"/>
      <c r="I97" s="3">
        <v>1353817</v>
      </c>
      <c r="J97" s="3"/>
      <c r="K97" s="3">
        <v>0</v>
      </c>
      <c r="L97" s="3"/>
      <c r="M97" s="3">
        <v>0</v>
      </c>
      <c r="N97" s="3"/>
      <c r="O97" s="3">
        <v>430515</v>
      </c>
      <c r="P97" s="3"/>
      <c r="Q97" s="3">
        <v>241985</v>
      </c>
      <c r="R97" s="3"/>
      <c r="S97" s="3">
        <v>15609</v>
      </c>
      <c r="T97" s="3"/>
      <c r="U97" s="3">
        <v>154774</v>
      </c>
      <c r="V97" s="3"/>
      <c r="W97" s="3">
        <v>323153</v>
      </c>
      <c r="X97" s="3"/>
      <c r="Y97" s="3">
        <v>0</v>
      </c>
      <c r="Z97" s="3"/>
      <c r="AA97" s="3">
        <v>8689</v>
      </c>
      <c r="AC97" s="3">
        <v>0</v>
      </c>
      <c r="AD97" s="16" t="s">
        <v>370</v>
      </c>
      <c r="AF97" s="16" t="s">
        <v>188</v>
      </c>
      <c r="AG97" s="3"/>
      <c r="AH97" s="3">
        <v>30610</v>
      </c>
      <c r="AI97" s="3"/>
      <c r="AJ97" s="3">
        <v>0</v>
      </c>
      <c r="AK97" s="3"/>
      <c r="AL97" s="3">
        <v>0</v>
      </c>
      <c r="AM97" s="3"/>
      <c r="AN97" s="3">
        <v>37213</v>
      </c>
      <c r="AO97" s="3"/>
      <c r="AP97" s="3">
        <v>0</v>
      </c>
      <c r="AQ97" s="3"/>
      <c r="AR97" s="3">
        <v>0</v>
      </c>
      <c r="AS97" s="3"/>
      <c r="AT97" s="3">
        <v>0</v>
      </c>
      <c r="AU97" s="3"/>
      <c r="AV97" s="3">
        <v>0</v>
      </c>
      <c r="AW97" s="3"/>
      <c r="AX97" s="3">
        <v>0</v>
      </c>
      <c r="AY97" s="3"/>
      <c r="AZ97" s="3">
        <f t="shared" si="6"/>
        <v>2596365</v>
      </c>
      <c r="BA97" s="3"/>
      <c r="BB97" s="3">
        <v>0</v>
      </c>
      <c r="BC97" s="3"/>
      <c r="BD97" s="3">
        <v>0</v>
      </c>
      <c r="BE97" s="16" t="s">
        <v>370</v>
      </c>
      <c r="BG97" s="16" t="s">
        <v>188</v>
      </c>
      <c r="BH97" s="3"/>
      <c r="BI97" s="3"/>
      <c r="BJ97" s="3"/>
      <c r="BK97" s="3"/>
      <c r="BL97" s="3"/>
      <c r="BM97" s="3">
        <f t="shared" si="5"/>
        <v>2596365</v>
      </c>
      <c r="BN97" s="3"/>
      <c r="BO97" s="3">
        <f>GenRev!AS97-BM97</f>
        <v>28306</v>
      </c>
      <c r="BP97" s="3"/>
      <c r="BQ97" s="3">
        <v>338754</v>
      </c>
      <c r="BR97" s="3"/>
      <c r="BS97" s="3">
        <v>0</v>
      </c>
      <c r="BT97" s="3"/>
      <c r="BU97" s="3">
        <f t="shared" si="7"/>
        <v>367060</v>
      </c>
      <c r="BV97" s="3"/>
      <c r="BW97" s="17">
        <f>+BU97-GenBS!AC97</f>
        <v>0</v>
      </c>
    </row>
    <row r="98" spans="1:75" s="16" customFormat="1" ht="12">
      <c r="A98" s="3" t="s">
        <v>371</v>
      </c>
      <c r="B98" s="3"/>
      <c r="C98" s="3" t="s">
        <v>150</v>
      </c>
      <c r="D98" s="3"/>
      <c r="E98" s="3">
        <v>48108</v>
      </c>
      <c r="F98" s="3"/>
      <c r="G98" s="3">
        <v>729434</v>
      </c>
      <c r="H98" s="3"/>
      <c r="I98" s="3">
        <v>1111534</v>
      </c>
      <c r="J98" s="3"/>
      <c r="K98" s="3">
        <v>0</v>
      </c>
      <c r="L98" s="3"/>
      <c r="M98" s="3">
        <v>0</v>
      </c>
      <c r="N98" s="3"/>
      <c r="O98" s="3">
        <v>1556455</v>
      </c>
      <c r="P98" s="3"/>
      <c r="Q98" s="3">
        <v>3527061</v>
      </c>
      <c r="R98" s="3"/>
      <c r="S98" s="3">
        <v>34940</v>
      </c>
      <c r="T98" s="3"/>
      <c r="U98" s="3">
        <v>649463</v>
      </c>
      <c r="V98" s="3"/>
      <c r="W98" s="3">
        <v>308713</v>
      </c>
      <c r="X98" s="3"/>
      <c r="Y98" s="3">
        <v>501019</v>
      </c>
      <c r="Z98" s="3"/>
      <c r="AA98" s="3">
        <v>258155</v>
      </c>
      <c r="AC98" s="3">
        <v>0</v>
      </c>
      <c r="AD98" s="16" t="s">
        <v>371</v>
      </c>
      <c r="AF98" s="16" t="s">
        <v>150</v>
      </c>
      <c r="AG98" s="3"/>
      <c r="AH98" s="3">
        <v>0</v>
      </c>
      <c r="AI98" s="3"/>
      <c r="AJ98" s="3">
        <v>0</v>
      </c>
      <c r="AK98" s="3"/>
      <c r="AL98" s="3">
        <v>0</v>
      </c>
      <c r="AM98" s="3"/>
      <c r="AN98" s="3">
        <v>0</v>
      </c>
      <c r="AO98" s="3"/>
      <c r="AP98" s="3">
        <v>0</v>
      </c>
      <c r="AQ98" s="3"/>
      <c r="AR98" s="3">
        <v>4329</v>
      </c>
      <c r="AS98" s="3"/>
      <c r="AT98" s="3">
        <v>0</v>
      </c>
      <c r="AU98" s="3"/>
      <c r="AV98" s="3">
        <v>1674</v>
      </c>
      <c r="AW98" s="3"/>
      <c r="AX98" s="3">
        <v>21</v>
      </c>
      <c r="AY98" s="3"/>
      <c r="AZ98" s="3">
        <f t="shared" si="6"/>
        <v>8682798</v>
      </c>
      <c r="BA98" s="3"/>
      <c r="BB98" s="3">
        <v>0</v>
      </c>
      <c r="BC98" s="3"/>
      <c r="BD98" s="3">
        <v>0</v>
      </c>
      <c r="BE98" s="16" t="s">
        <v>371</v>
      </c>
      <c r="BG98" s="16" t="s">
        <v>150</v>
      </c>
      <c r="BH98" s="3"/>
      <c r="BI98" s="3"/>
      <c r="BJ98" s="3"/>
      <c r="BK98" s="3"/>
      <c r="BL98" s="3"/>
      <c r="BM98" s="3">
        <f t="shared" si="5"/>
        <v>8682798</v>
      </c>
      <c r="BN98" s="3"/>
      <c r="BO98" s="3">
        <f>GenRev!AS98-BM98</f>
        <v>-3545</v>
      </c>
      <c r="BP98" s="3"/>
      <c r="BQ98" s="3">
        <v>3011334</v>
      </c>
      <c r="BR98" s="3"/>
      <c r="BS98" s="3">
        <v>0</v>
      </c>
      <c r="BT98" s="3"/>
      <c r="BU98" s="3">
        <f t="shared" si="7"/>
        <v>3007789</v>
      </c>
      <c r="BV98" s="3"/>
      <c r="BW98" s="17">
        <f>+BU98-GenBS!AC98</f>
        <v>0</v>
      </c>
    </row>
    <row r="99" spans="1:75" s="16" customFormat="1" ht="12">
      <c r="A99" s="3" t="s">
        <v>372</v>
      </c>
      <c r="B99" s="3"/>
      <c r="C99" s="3" t="s">
        <v>189</v>
      </c>
      <c r="D99" s="3"/>
      <c r="E99" s="3">
        <v>48199</v>
      </c>
      <c r="F99" s="3"/>
      <c r="G99" s="3">
        <v>27859</v>
      </c>
      <c r="H99" s="3"/>
      <c r="I99" s="3">
        <v>5804564</v>
      </c>
      <c r="J99" s="3"/>
      <c r="K99" s="3">
        <v>93864</v>
      </c>
      <c r="L99" s="3"/>
      <c r="M99" s="3">
        <v>114788</v>
      </c>
      <c r="N99" s="3"/>
      <c r="O99" s="3">
        <v>4566792</v>
      </c>
      <c r="P99" s="3"/>
      <c r="Q99" s="3">
        <v>1152594</v>
      </c>
      <c r="R99" s="3"/>
      <c r="S99" s="3">
        <v>23258</v>
      </c>
      <c r="T99" s="3"/>
      <c r="U99" s="3">
        <v>1869044</v>
      </c>
      <c r="V99" s="3"/>
      <c r="W99" s="3">
        <v>568772</v>
      </c>
      <c r="X99" s="3"/>
      <c r="Y99" s="3">
        <v>74677</v>
      </c>
      <c r="Z99" s="3"/>
      <c r="AA99" s="3">
        <v>834309</v>
      </c>
      <c r="AC99" s="3">
        <v>1569</v>
      </c>
      <c r="AD99" s="16" t="s">
        <v>372</v>
      </c>
      <c r="AF99" s="16" t="s">
        <v>189</v>
      </c>
      <c r="AG99" s="3"/>
      <c r="AH99" s="3">
        <v>157683</v>
      </c>
      <c r="AI99" s="3"/>
      <c r="AJ99" s="3">
        <v>0</v>
      </c>
      <c r="AK99" s="3"/>
      <c r="AL99" s="3">
        <v>0</v>
      </c>
      <c r="AM99" s="3"/>
      <c r="AN99" s="3">
        <v>92596</v>
      </c>
      <c r="AO99" s="3"/>
      <c r="AP99" s="3">
        <v>0</v>
      </c>
      <c r="AQ99" s="3"/>
      <c r="AR99" s="3">
        <f>1851839+10800</f>
        <v>1862639</v>
      </c>
      <c r="AS99" s="3"/>
      <c r="AT99" s="3">
        <v>0</v>
      </c>
      <c r="AU99" s="3"/>
      <c r="AV99" s="3">
        <v>947</v>
      </c>
      <c r="AW99" s="3"/>
      <c r="AX99" s="3">
        <v>307</v>
      </c>
      <c r="AY99" s="3"/>
      <c r="AZ99" s="3">
        <f t="shared" si="6"/>
        <v>17246262</v>
      </c>
      <c r="BA99" s="3"/>
      <c r="BB99" s="3">
        <v>159875</v>
      </c>
      <c r="BC99" s="3"/>
      <c r="BD99" s="3">
        <v>0</v>
      </c>
      <c r="BE99" s="16" t="s">
        <v>372</v>
      </c>
      <c r="BG99" s="16" t="s">
        <v>189</v>
      </c>
      <c r="BH99" s="3"/>
      <c r="BI99" s="3"/>
      <c r="BJ99" s="3"/>
      <c r="BK99" s="3"/>
      <c r="BL99" s="3"/>
      <c r="BM99" s="3">
        <f t="shared" si="5"/>
        <v>17406137</v>
      </c>
      <c r="BN99" s="3"/>
      <c r="BO99" s="3">
        <f>GenRev!AS99-BM99</f>
        <v>-1133861</v>
      </c>
      <c r="BP99" s="3"/>
      <c r="BQ99" s="3">
        <v>3336720</v>
      </c>
      <c r="BR99" s="3"/>
      <c r="BS99" s="3">
        <v>0</v>
      </c>
      <c r="BT99" s="3"/>
      <c r="BU99" s="3">
        <f t="shared" si="7"/>
        <v>2202859</v>
      </c>
      <c r="BV99" s="3"/>
      <c r="BW99" s="17">
        <f>+BU99-GenBS!AC99</f>
        <v>0</v>
      </c>
    </row>
    <row r="100" spans="1:75" s="16" customFormat="1" ht="12">
      <c r="A100" s="3" t="s">
        <v>159</v>
      </c>
      <c r="B100" s="3"/>
      <c r="C100" s="3" t="s">
        <v>160</v>
      </c>
      <c r="D100" s="3"/>
      <c r="E100" s="3">
        <v>137364</v>
      </c>
      <c r="F100" s="3"/>
      <c r="G100" s="3">
        <v>256706</v>
      </c>
      <c r="H100" s="3"/>
      <c r="I100" s="3">
        <v>3039264</v>
      </c>
      <c r="J100" s="3"/>
      <c r="K100" s="3">
        <v>0</v>
      </c>
      <c r="L100" s="3"/>
      <c r="M100" s="3">
        <v>0</v>
      </c>
      <c r="N100" s="3"/>
      <c r="O100" s="3">
        <v>2652499</v>
      </c>
      <c r="P100" s="3"/>
      <c r="Q100" s="3">
        <v>2540177</v>
      </c>
      <c r="R100" s="3"/>
      <c r="S100" s="3">
        <v>28807</v>
      </c>
      <c r="T100" s="3"/>
      <c r="U100" s="3">
        <v>1439297</v>
      </c>
      <c r="V100" s="3"/>
      <c r="W100" s="3">
        <v>326489</v>
      </c>
      <c r="X100" s="3"/>
      <c r="Y100" s="3">
        <v>5851</v>
      </c>
      <c r="Z100" s="3"/>
      <c r="AA100" s="3">
        <v>27094</v>
      </c>
      <c r="AC100" s="3">
        <v>7223</v>
      </c>
      <c r="AD100" s="16" t="s">
        <v>159</v>
      </c>
      <c r="AF100" s="16" t="s">
        <v>160</v>
      </c>
      <c r="AG100" s="3"/>
      <c r="AH100" s="3">
        <v>60586</v>
      </c>
      <c r="AI100" s="3"/>
      <c r="AJ100" s="3">
        <v>0</v>
      </c>
      <c r="AK100" s="3"/>
      <c r="AL100" s="3">
        <v>0</v>
      </c>
      <c r="AM100" s="3"/>
      <c r="AN100" s="3">
        <v>0</v>
      </c>
      <c r="AO100" s="3"/>
      <c r="AP100" s="3">
        <v>282</v>
      </c>
      <c r="AQ100" s="3"/>
      <c r="AR100" s="3">
        <v>0</v>
      </c>
      <c r="AS100" s="3"/>
      <c r="AT100" s="3">
        <v>0</v>
      </c>
      <c r="AU100" s="3"/>
      <c r="AV100" s="3">
        <v>18947</v>
      </c>
      <c r="AW100" s="3"/>
      <c r="AX100" s="3">
        <v>7897</v>
      </c>
      <c r="AY100" s="3"/>
      <c r="AZ100" s="3">
        <f t="shared" si="6"/>
        <v>10411119</v>
      </c>
      <c r="BA100" s="3"/>
      <c r="BB100" s="3">
        <v>0</v>
      </c>
      <c r="BC100" s="3"/>
      <c r="BD100" s="3">
        <v>0</v>
      </c>
      <c r="BE100" s="16" t="s">
        <v>159</v>
      </c>
      <c r="BG100" s="16" t="s">
        <v>160</v>
      </c>
      <c r="BH100" s="3"/>
      <c r="BI100" s="3"/>
      <c r="BJ100" s="3"/>
      <c r="BK100" s="3"/>
      <c r="BL100" s="3"/>
      <c r="BM100" s="3">
        <f t="shared" si="5"/>
        <v>10411119</v>
      </c>
      <c r="BN100" s="3"/>
      <c r="BO100" s="3">
        <f>GenRev!AS100-BM100</f>
        <v>-207975</v>
      </c>
      <c r="BP100" s="3"/>
      <c r="BQ100" s="3">
        <v>295733</v>
      </c>
      <c r="BR100" s="3"/>
      <c r="BS100" s="3">
        <v>0</v>
      </c>
      <c r="BT100" s="3"/>
      <c r="BU100" s="3">
        <f t="shared" si="7"/>
        <v>87758</v>
      </c>
      <c r="BV100" s="3"/>
      <c r="BW100" s="17">
        <f>+BU100-GenBS!AC100</f>
        <v>0</v>
      </c>
    </row>
    <row r="101" spans="1:75" s="16" customFormat="1" ht="12">
      <c r="A101" s="3" t="s">
        <v>190</v>
      </c>
      <c r="B101" s="3"/>
      <c r="C101" s="3" t="s">
        <v>191</v>
      </c>
      <c r="D101" s="3"/>
      <c r="E101" s="3">
        <v>48280</v>
      </c>
      <c r="F101" s="3"/>
      <c r="G101" s="3">
        <v>1724959</v>
      </c>
      <c r="H101" s="3"/>
      <c r="I101" s="3">
        <v>5712539</v>
      </c>
      <c r="J101" s="3"/>
      <c r="K101" s="3">
        <v>61394</v>
      </c>
      <c r="L101" s="3"/>
      <c r="M101" s="3">
        <v>0</v>
      </c>
      <c r="N101" s="3"/>
      <c r="O101" s="3">
        <v>4568874</v>
      </c>
      <c r="P101" s="3"/>
      <c r="Q101" s="3">
        <v>2574300</v>
      </c>
      <c r="R101" s="3"/>
      <c r="S101" s="3">
        <v>19703</v>
      </c>
      <c r="T101" s="3"/>
      <c r="U101" s="3">
        <v>743402</v>
      </c>
      <c r="V101" s="3"/>
      <c r="W101" s="3">
        <v>488929</v>
      </c>
      <c r="X101" s="3"/>
      <c r="Y101" s="3">
        <v>298556</v>
      </c>
      <c r="Z101" s="3"/>
      <c r="AA101" s="3">
        <v>236441</v>
      </c>
      <c r="AC101" s="3">
        <v>205</v>
      </c>
      <c r="AD101" s="16" t="s">
        <v>190</v>
      </c>
      <c r="AF101" s="16" t="s">
        <v>191</v>
      </c>
      <c r="AG101" s="3"/>
      <c r="AH101" s="3">
        <v>565665</v>
      </c>
      <c r="AI101" s="3"/>
      <c r="AJ101" s="3">
        <v>0</v>
      </c>
      <c r="AK101" s="3"/>
      <c r="AL101" s="3">
        <v>0</v>
      </c>
      <c r="AM101" s="3"/>
      <c r="AN101" s="3">
        <v>155063</v>
      </c>
      <c r="AO101" s="3"/>
      <c r="AP101" s="3">
        <v>0</v>
      </c>
      <c r="AQ101" s="3"/>
      <c r="AR101" s="3">
        <v>0</v>
      </c>
      <c r="AS101" s="3"/>
      <c r="AT101" s="3">
        <v>0</v>
      </c>
      <c r="AU101" s="3"/>
      <c r="AV101" s="3">
        <v>0</v>
      </c>
      <c r="AW101" s="3"/>
      <c r="AX101" s="3">
        <v>0</v>
      </c>
      <c r="AY101" s="3"/>
      <c r="AZ101" s="3">
        <f t="shared" si="6"/>
        <v>17150030</v>
      </c>
      <c r="BA101" s="3"/>
      <c r="BB101" s="3">
        <v>120000</v>
      </c>
      <c r="BC101" s="3"/>
      <c r="BD101" s="3">
        <v>0</v>
      </c>
      <c r="BE101" s="16" t="s">
        <v>190</v>
      </c>
      <c r="BG101" s="16" t="s">
        <v>191</v>
      </c>
      <c r="BH101" s="3"/>
      <c r="BI101" s="3"/>
      <c r="BJ101" s="3"/>
      <c r="BK101" s="3"/>
      <c r="BL101" s="3"/>
      <c r="BM101" s="3">
        <f t="shared" ref="BM101:BM125" si="10">+BD101+BI101+BB101+AZ101</f>
        <v>17270030</v>
      </c>
      <c r="BN101" s="3"/>
      <c r="BO101" s="3">
        <f>GenRev!AS101-BM101</f>
        <v>-1479548</v>
      </c>
      <c r="BP101" s="3"/>
      <c r="BQ101" s="3">
        <v>2715559</v>
      </c>
      <c r="BR101" s="3"/>
      <c r="BS101" s="3">
        <v>0</v>
      </c>
      <c r="BT101" s="3"/>
      <c r="BU101" s="3">
        <f t="shared" si="7"/>
        <v>1236011</v>
      </c>
      <c r="BV101" s="3"/>
      <c r="BW101" s="17">
        <f>+BU101-GenBS!AC101</f>
        <v>0</v>
      </c>
    </row>
    <row r="102" spans="1:75" s="16" customFormat="1" ht="12">
      <c r="A102" s="3" t="s">
        <v>192</v>
      </c>
      <c r="B102" s="3"/>
      <c r="C102" s="3" t="s">
        <v>193</v>
      </c>
      <c r="D102" s="3"/>
      <c r="E102" s="3">
        <v>48454</v>
      </c>
      <c r="F102" s="3"/>
      <c r="G102" s="3">
        <v>331311</v>
      </c>
      <c r="H102" s="3"/>
      <c r="I102" s="3">
        <v>457289</v>
      </c>
      <c r="J102" s="3"/>
      <c r="K102" s="3">
        <v>60081</v>
      </c>
      <c r="L102" s="3"/>
      <c r="M102" s="3">
        <v>0</v>
      </c>
      <c r="N102" s="3"/>
      <c r="O102" s="3">
        <v>444865</v>
      </c>
      <c r="P102" s="3"/>
      <c r="Q102" s="3">
        <v>3030272</v>
      </c>
      <c r="R102" s="3"/>
      <c r="S102" s="3">
        <v>38666</v>
      </c>
      <c r="T102" s="3"/>
      <c r="U102" s="3">
        <v>189957</v>
      </c>
      <c r="V102" s="3"/>
      <c r="W102" s="3">
        <v>251652</v>
      </c>
      <c r="X102" s="3"/>
      <c r="Y102" s="3">
        <v>263199</v>
      </c>
      <c r="Z102" s="3"/>
      <c r="AA102" s="3">
        <v>0</v>
      </c>
      <c r="AC102" s="3">
        <v>18044</v>
      </c>
      <c r="AD102" s="16" t="s">
        <v>192</v>
      </c>
      <c r="AF102" s="16" t="s">
        <v>193</v>
      </c>
      <c r="AG102" s="3"/>
      <c r="AH102" s="3">
        <v>300624</v>
      </c>
      <c r="AI102" s="3"/>
      <c r="AJ102" s="3">
        <v>0</v>
      </c>
      <c r="AK102" s="3"/>
      <c r="AL102" s="3">
        <v>0</v>
      </c>
      <c r="AM102" s="3"/>
      <c r="AN102" s="3">
        <v>0</v>
      </c>
      <c r="AO102" s="3"/>
      <c r="AP102" s="3">
        <v>17706</v>
      </c>
      <c r="AQ102" s="3"/>
      <c r="AR102" s="3">
        <v>0</v>
      </c>
      <c r="AS102" s="3"/>
      <c r="AT102" s="3">
        <v>0</v>
      </c>
      <c r="AU102" s="3"/>
      <c r="AV102" s="3">
        <v>0</v>
      </c>
      <c r="AW102" s="3"/>
      <c r="AX102" s="3">
        <v>0</v>
      </c>
      <c r="AY102" s="3"/>
      <c r="AZ102" s="3">
        <f t="shared" si="6"/>
        <v>5403666</v>
      </c>
      <c r="BA102" s="3"/>
      <c r="BB102" s="3">
        <v>0</v>
      </c>
      <c r="BC102" s="3"/>
      <c r="BD102" s="3">
        <v>0</v>
      </c>
      <c r="BE102" s="16" t="s">
        <v>192</v>
      </c>
      <c r="BG102" s="16" t="s">
        <v>193</v>
      </c>
      <c r="BH102" s="3"/>
      <c r="BI102" s="3"/>
      <c r="BJ102" s="3"/>
      <c r="BK102" s="3"/>
      <c r="BL102" s="3"/>
      <c r="BM102" s="3">
        <f t="shared" si="10"/>
        <v>5403666</v>
      </c>
      <c r="BN102" s="3"/>
      <c r="BO102" s="3">
        <f>GenRev!AS102-BM102</f>
        <v>222103</v>
      </c>
      <c r="BP102" s="3"/>
      <c r="BQ102" s="3">
        <v>1902334</v>
      </c>
      <c r="BR102" s="3"/>
      <c r="BS102" s="3">
        <v>0</v>
      </c>
      <c r="BT102" s="3"/>
      <c r="BU102" s="3">
        <f t="shared" si="7"/>
        <v>2124437</v>
      </c>
      <c r="BV102" s="3"/>
      <c r="BW102" s="17">
        <f>+BU102-GenBS!AC102</f>
        <v>0</v>
      </c>
    </row>
    <row r="103" spans="1:75" s="16" customFormat="1" ht="12" hidden="1">
      <c r="A103" s="3" t="s">
        <v>348</v>
      </c>
      <c r="B103" s="3"/>
      <c r="C103" s="3" t="s">
        <v>195</v>
      </c>
      <c r="D103" s="3"/>
      <c r="E103" s="3">
        <v>48546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C103" s="3"/>
      <c r="AD103" s="16" t="s">
        <v>194</v>
      </c>
      <c r="AF103" s="16" t="s">
        <v>195</v>
      </c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>
        <f t="shared" si="6"/>
        <v>0</v>
      </c>
      <c r="BA103" s="3"/>
      <c r="BB103" s="3"/>
      <c r="BC103" s="3"/>
      <c r="BD103" s="3"/>
      <c r="BE103" s="16" t="s">
        <v>194</v>
      </c>
      <c r="BG103" s="16" t="s">
        <v>195</v>
      </c>
      <c r="BH103" s="3"/>
      <c r="BI103" s="3"/>
      <c r="BJ103" s="3"/>
      <c r="BK103" s="3"/>
      <c r="BL103" s="3"/>
      <c r="BM103" s="3">
        <f t="shared" si="10"/>
        <v>0</v>
      </c>
      <c r="BN103" s="3"/>
      <c r="BO103" s="3">
        <f>GenRev!AS103-BM103</f>
        <v>0</v>
      </c>
      <c r="BP103" s="3"/>
      <c r="BQ103" s="3"/>
      <c r="BR103" s="3"/>
      <c r="BS103" s="3"/>
      <c r="BT103" s="3"/>
      <c r="BU103" s="3">
        <f t="shared" si="7"/>
        <v>0</v>
      </c>
      <c r="BV103" s="3"/>
      <c r="BW103" s="17">
        <f>+BU103-GenBS!AC103</f>
        <v>0</v>
      </c>
    </row>
    <row r="104" spans="1:75" s="16" customFormat="1" ht="12">
      <c r="A104" s="3" t="s">
        <v>196</v>
      </c>
      <c r="B104" s="3"/>
      <c r="C104" s="3" t="s">
        <v>197</v>
      </c>
      <c r="D104" s="3"/>
      <c r="E104" s="3">
        <v>48603</v>
      </c>
      <c r="F104" s="3"/>
      <c r="G104" s="3">
        <v>99083</v>
      </c>
      <c r="H104" s="3"/>
      <c r="I104" s="3">
        <v>4223678</v>
      </c>
      <c r="J104" s="3"/>
      <c r="K104" s="3">
        <v>0</v>
      </c>
      <c r="L104" s="3"/>
      <c r="M104" s="3">
        <v>0</v>
      </c>
      <c r="N104" s="3"/>
      <c r="O104" s="3">
        <v>2692170</v>
      </c>
      <c r="P104" s="3"/>
      <c r="Q104" s="3">
        <v>2358169</v>
      </c>
      <c r="R104" s="3"/>
      <c r="S104" s="3">
        <v>15904</v>
      </c>
      <c r="T104" s="3"/>
      <c r="U104" s="3">
        <v>1221852</v>
      </c>
      <c r="V104" s="3"/>
      <c r="W104" s="3">
        <v>214316</v>
      </c>
      <c r="X104" s="3"/>
      <c r="Y104" s="3">
        <v>0</v>
      </c>
      <c r="Z104" s="3"/>
      <c r="AA104" s="3">
        <v>64566</v>
      </c>
      <c r="AC104" s="3">
        <v>10537</v>
      </c>
      <c r="AD104" s="16" t="s">
        <v>196</v>
      </c>
      <c r="AF104" s="16" t="s">
        <v>197</v>
      </c>
      <c r="AG104" s="3"/>
      <c r="AH104" s="3">
        <v>408160</v>
      </c>
      <c r="AI104" s="3"/>
      <c r="AJ104" s="3">
        <v>0</v>
      </c>
      <c r="AK104" s="3"/>
      <c r="AL104" s="3">
        <v>0</v>
      </c>
      <c r="AM104" s="3"/>
      <c r="AN104" s="3">
        <v>0</v>
      </c>
      <c r="AO104" s="3"/>
      <c r="AP104" s="3">
        <v>13906</v>
      </c>
      <c r="AQ104" s="3"/>
      <c r="AR104" s="3">
        <v>5912</v>
      </c>
      <c r="AS104" s="3"/>
      <c r="AT104" s="3">
        <v>0</v>
      </c>
      <c r="AU104" s="3"/>
      <c r="AV104" s="3">
        <v>7695</v>
      </c>
      <c r="AW104" s="3"/>
      <c r="AX104" s="3">
        <v>367</v>
      </c>
      <c r="AY104" s="3"/>
      <c r="AZ104" s="3">
        <f t="shared" si="6"/>
        <v>11336315</v>
      </c>
      <c r="BA104" s="3"/>
      <c r="BB104" s="3">
        <v>0</v>
      </c>
      <c r="BC104" s="3"/>
      <c r="BD104" s="3">
        <v>0</v>
      </c>
      <c r="BE104" s="16" t="s">
        <v>196</v>
      </c>
      <c r="BG104" s="16" t="s">
        <v>197</v>
      </c>
      <c r="BH104" s="3"/>
      <c r="BI104" s="3"/>
      <c r="BJ104" s="3"/>
      <c r="BK104" s="3"/>
      <c r="BL104" s="3"/>
      <c r="BM104" s="3">
        <f t="shared" si="10"/>
        <v>11336315</v>
      </c>
      <c r="BN104" s="3"/>
      <c r="BO104" s="3">
        <f>GenRev!AS104-BM104</f>
        <v>78284</v>
      </c>
      <c r="BP104" s="3"/>
      <c r="BQ104" s="3">
        <v>1523901</v>
      </c>
      <c r="BR104" s="3"/>
      <c r="BS104" s="3">
        <v>0</v>
      </c>
      <c r="BT104" s="3"/>
      <c r="BU104" s="3">
        <f t="shared" si="7"/>
        <v>1602185</v>
      </c>
      <c r="BV104" s="3"/>
      <c r="BW104" s="17">
        <f>+BU104-GenBS!AC104</f>
        <v>0</v>
      </c>
    </row>
    <row r="105" spans="1:75" s="16" customFormat="1" ht="12" hidden="1">
      <c r="A105" s="3" t="s">
        <v>347</v>
      </c>
      <c r="B105" s="3"/>
      <c r="C105" s="3" t="s">
        <v>212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 t="s">
        <v>347</v>
      </c>
      <c r="AE105" s="3"/>
      <c r="AF105" s="3" t="s">
        <v>212</v>
      </c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>
        <f t="shared" si="6"/>
        <v>0</v>
      </c>
      <c r="BA105" s="3"/>
      <c r="BB105" s="3"/>
      <c r="BC105" s="3"/>
      <c r="BD105" s="3"/>
      <c r="BE105" s="3" t="s">
        <v>347</v>
      </c>
      <c r="BF105" s="3"/>
      <c r="BG105" s="3" t="s">
        <v>212</v>
      </c>
      <c r="BH105" s="3"/>
      <c r="BI105" s="3"/>
      <c r="BJ105" s="3"/>
      <c r="BK105" s="3"/>
      <c r="BL105" s="3"/>
      <c r="BM105" s="3">
        <f t="shared" si="10"/>
        <v>0</v>
      </c>
      <c r="BN105" s="3"/>
      <c r="BO105" s="3">
        <f>GenRev!AS105-BM105</f>
        <v>0</v>
      </c>
      <c r="BP105" s="3"/>
      <c r="BQ105" s="3"/>
      <c r="BR105" s="3"/>
      <c r="BS105" s="3"/>
      <c r="BT105" s="3"/>
      <c r="BU105" s="3">
        <f>+BQ105+BO105-BS105</f>
        <v>0</v>
      </c>
      <c r="BV105" s="3"/>
      <c r="BW105" s="17">
        <f>+BU105-GenBS!AC105</f>
        <v>0</v>
      </c>
    </row>
    <row r="106" spans="1:75" s="16" customFormat="1" ht="12">
      <c r="A106" s="3" t="s">
        <v>198</v>
      </c>
      <c r="B106" s="3"/>
      <c r="C106" s="3" t="s">
        <v>199</v>
      </c>
      <c r="D106" s="3"/>
      <c r="E106" s="3">
        <v>48660</v>
      </c>
      <c r="F106" s="3"/>
      <c r="G106" s="3">
        <v>0</v>
      </c>
      <c r="H106" s="3"/>
      <c r="I106" s="3">
        <v>6313037</v>
      </c>
      <c r="J106" s="3"/>
      <c r="K106" s="3">
        <v>0</v>
      </c>
      <c r="L106" s="3"/>
      <c r="M106" s="3">
        <v>0</v>
      </c>
      <c r="N106" s="3"/>
      <c r="O106" s="3">
        <v>7858622</v>
      </c>
      <c r="P106" s="3"/>
      <c r="Q106" s="3">
        <v>6839483</v>
      </c>
      <c r="R106" s="3"/>
      <c r="S106" s="3">
        <v>78837</v>
      </c>
      <c r="T106" s="3"/>
      <c r="U106" s="3">
        <v>1896990</v>
      </c>
      <c r="V106" s="3"/>
      <c r="W106" s="3">
        <v>396578</v>
      </c>
      <c r="X106" s="3"/>
      <c r="Y106" s="3">
        <v>62558</v>
      </c>
      <c r="Z106" s="3"/>
      <c r="AA106" s="3">
        <v>1412789</v>
      </c>
      <c r="AC106" s="3">
        <v>9202</v>
      </c>
      <c r="AD106" s="16" t="s">
        <v>198</v>
      </c>
      <c r="AF106" s="16" t="s">
        <v>199</v>
      </c>
      <c r="AG106" s="3"/>
      <c r="AH106" s="3">
        <v>1197985</v>
      </c>
      <c r="AI106" s="3"/>
      <c r="AJ106" s="3">
        <v>0</v>
      </c>
      <c r="AK106" s="3"/>
      <c r="AL106" s="3">
        <v>0</v>
      </c>
      <c r="AM106" s="3"/>
      <c r="AN106" s="3">
        <v>35092</v>
      </c>
      <c r="AO106" s="3"/>
      <c r="AP106" s="3">
        <v>0</v>
      </c>
      <c r="AQ106" s="3"/>
      <c r="AR106" s="3">
        <v>267849</v>
      </c>
      <c r="AS106" s="3"/>
      <c r="AT106" s="3">
        <v>0</v>
      </c>
      <c r="AU106" s="3"/>
      <c r="AV106" s="3">
        <v>199616</v>
      </c>
      <c r="AW106" s="3"/>
      <c r="AX106" s="3">
        <v>28049</v>
      </c>
      <c r="AY106" s="3"/>
      <c r="AZ106" s="3">
        <f t="shared" si="6"/>
        <v>26596687</v>
      </c>
      <c r="BA106" s="3"/>
      <c r="BB106" s="3">
        <v>68973</v>
      </c>
      <c r="BC106" s="3"/>
      <c r="BD106" s="3">
        <v>0</v>
      </c>
      <c r="BE106" s="16" t="s">
        <v>198</v>
      </c>
      <c r="BG106" s="16" t="s">
        <v>199</v>
      </c>
      <c r="BH106" s="3"/>
      <c r="BI106" s="3"/>
      <c r="BJ106" s="3"/>
      <c r="BK106" s="3"/>
      <c r="BL106" s="3"/>
      <c r="BM106" s="3">
        <f t="shared" si="10"/>
        <v>26665660</v>
      </c>
      <c r="BN106" s="3"/>
      <c r="BO106" s="3">
        <f>GenRev!AS106-BM106</f>
        <v>-238662</v>
      </c>
      <c r="BP106" s="3"/>
      <c r="BQ106" s="3">
        <v>12678336</v>
      </c>
      <c r="BR106" s="3"/>
      <c r="BS106" s="3">
        <v>0</v>
      </c>
      <c r="BT106" s="3"/>
      <c r="BU106" s="3">
        <f t="shared" si="7"/>
        <v>12439674</v>
      </c>
      <c r="BV106" s="3"/>
      <c r="BW106" s="17">
        <f>+BU106-GenBS!AC106</f>
        <v>0</v>
      </c>
    </row>
    <row r="107" spans="1:75" s="16" customFormat="1" ht="12">
      <c r="A107" s="3" t="s">
        <v>200</v>
      </c>
      <c r="B107" s="3"/>
      <c r="C107" s="3" t="s">
        <v>201</v>
      </c>
      <c r="D107" s="3"/>
      <c r="E107" s="3">
        <v>125252</v>
      </c>
      <c r="F107" s="3"/>
      <c r="G107" s="3">
        <v>3296986</v>
      </c>
      <c r="H107" s="3"/>
      <c r="I107" s="3">
        <v>0</v>
      </c>
      <c r="J107" s="3"/>
      <c r="K107" s="3">
        <v>0</v>
      </c>
      <c r="L107" s="3"/>
      <c r="M107" s="3">
        <v>0</v>
      </c>
      <c r="N107" s="3"/>
      <c r="O107" s="3">
        <v>1857047</v>
      </c>
      <c r="P107" s="3"/>
      <c r="Q107" s="3">
        <v>2496772</v>
      </c>
      <c r="R107" s="3"/>
      <c r="S107" s="3">
        <v>29980</v>
      </c>
      <c r="T107" s="3"/>
      <c r="U107" s="3">
        <v>655987</v>
      </c>
      <c r="V107" s="3"/>
      <c r="W107" s="3">
        <v>227507</v>
      </c>
      <c r="X107" s="3"/>
      <c r="Y107" s="3">
        <v>0</v>
      </c>
      <c r="Z107" s="3"/>
      <c r="AA107" s="3">
        <v>1055</v>
      </c>
      <c r="AC107" s="3">
        <v>12119</v>
      </c>
      <c r="AD107" s="16" t="s">
        <v>200</v>
      </c>
      <c r="AF107" s="16" t="s">
        <v>201</v>
      </c>
      <c r="AG107" s="3"/>
      <c r="AH107" s="3">
        <v>218085</v>
      </c>
      <c r="AI107" s="3"/>
      <c r="AJ107" s="3">
        <v>0</v>
      </c>
      <c r="AK107" s="3"/>
      <c r="AL107" s="3">
        <v>0</v>
      </c>
      <c r="AM107" s="3"/>
      <c r="AN107" s="3">
        <v>0</v>
      </c>
      <c r="AO107" s="3"/>
      <c r="AP107" s="3">
        <v>10331</v>
      </c>
      <c r="AQ107" s="3"/>
      <c r="AR107" s="3">
        <v>1414</v>
      </c>
      <c r="AS107" s="3"/>
      <c r="AT107" s="3">
        <v>123377</v>
      </c>
      <c r="AU107" s="3"/>
      <c r="AV107" s="3">
        <v>0</v>
      </c>
      <c r="AW107" s="3"/>
      <c r="AX107" s="3">
        <v>0</v>
      </c>
      <c r="AY107" s="3"/>
      <c r="AZ107" s="3">
        <f t="shared" si="6"/>
        <v>8930660</v>
      </c>
      <c r="BA107" s="3"/>
      <c r="BB107" s="3">
        <v>0</v>
      </c>
      <c r="BC107" s="3"/>
      <c r="BD107" s="3">
        <v>0</v>
      </c>
      <c r="BE107" s="16" t="s">
        <v>200</v>
      </c>
      <c r="BG107" s="16" t="s">
        <v>201</v>
      </c>
      <c r="BH107" s="3"/>
      <c r="BI107" s="3"/>
      <c r="BJ107" s="3"/>
      <c r="BK107" s="3"/>
      <c r="BL107" s="3"/>
      <c r="BM107" s="3">
        <f t="shared" si="10"/>
        <v>8930660</v>
      </c>
      <c r="BN107" s="3"/>
      <c r="BO107" s="3">
        <f>GenRev!AS107-BM107</f>
        <v>-257746</v>
      </c>
      <c r="BP107" s="3"/>
      <c r="BQ107" s="3">
        <v>3055202</v>
      </c>
      <c r="BR107" s="3"/>
      <c r="BS107" s="3">
        <v>0</v>
      </c>
      <c r="BT107" s="3"/>
      <c r="BU107" s="3">
        <f t="shared" si="7"/>
        <v>2797456</v>
      </c>
      <c r="BV107" s="3"/>
      <c r="BW107" s="17">
        <f>+BU107-GenBS!AC107</f>
        <v>0</v>
      </c>
    </row>
    <row r="108" spans="1:75" s="16" customFormat="1" ht="12">
      <c r="A108" s="3" t="s">
        <v>326</v>
      </c>
      <c r="B108" s="3"/>
      <c r="C108" s="3" t="s">
        <v>218</v>
      </c>
      <c r="D108" s="3"/>
      <c r="E108" s="3">
        <v>123257</v>
      </c>
      <c r="F108" s="3"/>
      <c r="G108" s="3">
        <v>963569</v>
      </c>
      <c r="H108" s="3"/>
      <c r="I108" s="3">
        <v>5151433</v>
      </c>
      <c r="J108" s="3"/>
      <c r="K108" s="3">
        <v>0</v>
      </c>
      <c r="L108" s="3"/>
      <c r="M108" s="3">
        <v>0</v>
      </c>
      <c r="N108" s="3"/>
      <c r="O108" s="3">
        <v>3964307</v>
      </c>
      <c r="P108" s="3"/>
      <c r="Q108" s="3">
        <v>2213300</v>
      </c>
      <c r="R108" s="3"/>
      <c r="S108" s="3">
        <v>65463</v>
      </c>
      <c r="T108" s="3"/>
      <c r="U108" s="3">
        <v>1501870</v>
      </c>
      <c r="V108" s="3"/>
      <c r="W108" s="3">
        <v>500371</v>
      </c>
      <c r="X108" s="3"/>
      <c r="Y108" s="3">
        <v>113682</v>
      </c>
      <c r="Z108" s="3"/>
      <c r="AA108" s="3">
        <v>488964</v>
      </c>
      <c r="AC108" s="3">
        <v>91995</v>
      </c>
      <c r="AD108" s="16" t="s">
        <v>326</v>
      </c>
      <c r="AF108" s="16" t="s">
        <v>218</v>
      </c>
      <c r="AG108" s="3"/>
      <c r="AH108" s="3">
        <v>551101</v>
      </c>
      <c r="AI108" s="3"/>
      <c r="AJ108" s="3">
        <v>0</v>
      </c>
      <c r="AK108" s="3"/>
      <c r="AL108" s="3">
        <v>0</v>
      </c>
      <c r="AM108" s="3"/>
      <c r="AN108" s="3">
        <v>70506</v>
      </c>
      <c r="AO108" s="3"/>
      <c r="AP108" s="3">
        <v>0</v>
      </c>
      <c r="AQ108" s="3"/>
      <c r="AR108" s="3">
        <v>0</v>
      </c>
      <c r="AS108" s="3"/>
      <c r="AT108" s="3">
        <v>0</v>
      </c>
      <c r="AU108" s="3"/>
      <c r="AV108" s="3">
        <v>0</v>
      </c>
      <c r="AW108" s="3"/>
      <c r="AX108" s="3">
        <v>0</v>
      </c>
      <c r="AY108" s="3"/>
      <c r="AZ108" s="3">
        <f t="shared" si="6"/>
        <v>15676561</v>
      </c>
      <c r="BA108" s="3"/>
      <c r="BB108" s="3">
        <v>7618</v>
      </c>
      <c r="BC108" s="3"/>
      <c r="BD108" s="3">
        <v>0</v>
      </c>
      <c r="BE108" s="16" t="s">
        <v>326</v>
      </c>
      <c r="BG108" s="16" t="s">
        <v>218</v>
      </c>
      <c r="BH108" s="3"/>
      <c r="BI108" s="3"/>
      <c r="BJ108" s="3"/>
      <c r="BK108" s="3"/>
      <c r="BL108" s="3"/>
      <c r="BM108" s="3">
        <f t="shared" si="10"/>
        <v>15684179</v>
      </c>
      <c r="BN108" s="3"/>
      <c r="BO108" s="3">
        <f>GenRev!AS108-BM108</f>
        <v>769926</v>
      </c>
      <c r="BP108" s="3"/>
      <c r="BQ108" s="3">
        <v>512459</v>
      </c>
      <c r="BR108" s="3"/>
      <c r="BS108" s="3">
        <v>0</v>
      </c>
      <c r="BT108" s="3"/>
      <c r="BU108" s="3">
        <f t="shared" si="7"/>
        <v>1282385</v>
      </c>
      <c r="BV108" s="3"/>
      <c r="BW108" s="17">
        <f>+BU108-GenBS!AC108</f>
        <v>0</v>
      </c>
    </row>
    <row r="109" spans="1:75" s="16" customFormat="1" ht="12">
      <c r="A109" s="3" t="s">
        <v>373</v>
      </c>
      <c r="B109" s="3"/>
      <c r="C109" s="3" t="s">
        <v>172</v>
      </c>
      <c r="D109" s="3"/>
      <c r="E109" s="3"/>
      <c r="F109" s="3"/>
      <c r="G109" s="3">
        <v>246789</v>
      </c>
      <c r="H109" s="3"/>
      <c r="I109" s="3">
        <v>5168096</v>
      </c>
      <c r="J109" s="3"/>
      <c r="K109" s="3">
        <v>0</v>
      </c>
      <c r="L109" s="3"/>
      <c r="M109" s="3">
        <v>0</v>
      </c>
      <c r="N109" s="3"/>
      <c r="O109" s="3">
        <v>5043731</v>
      </c>
      <c r="P109" s="3"/>
      <c r="Q109" s="3">
        <v>6917621</v>
      </c>
      <c r="R109" s="3"/>
      <c r="S109" s="3">
        <v>92418</v>
      </c>
      <c r="T109" s="3"/>
      <c r="U109" s="3">
        <v>657285</v>
      </c>
      <c r="V109" s="3"/>
      <c r="W109" s="3">
        <v>335272</v>
      </c>
      <c r="X109" s="3"/>
      <c r="Y109" s="3">
        <v>184285</v>
      </c>
      <c r="Z109" s="3"/>
      <c r="AA109" s="3">
        <v>347970</v>
      </c>
      <c r="AC109" s="3">
        <v>0</v>
      </c>
      <c r="AD109" s="16" t="s">
        <v>373</v>
      </c>
      <c r="AF109" s="16" t="s">
        <v>172</v>
      </c>
      <c r="AG109" s="3"/>
      <c r="AH109" s="3">
        <v>24464</v>
      </c>
      <c r="AI109" s="3"/>
      <c r="AJ109" s="3">
        <v>0</v>
      </c>
      <c r="AK109" s="3"/>
      <c r="AL109" s="3">
        <v>0</v>
      </c>
      <c r="AM109" s="3"/>
      <c r="AN109" s="3">
        <v>0</v>
      </c>
      <c r="AO109" s="3"/>
      <c r="AP109" s="3">
        <v>0</v>
      </c>
      <c r="AQ109" s="3"/>
      <c r="AR109" s="3">
        <v>140765</v>
      </c>
      <c r="AS109" s="3"/>
      <c r="AT109" s="3">
        <v>0</v>
      </c>
      <c r="AU109" s="3"/>
      <c r="AV109" s="3">
        <v>0</v>
      </c>
      <c r="AW109" s="3"/>
      <c r="AX109" s="3">
        <v>0</v>
      </c>
      <c r="AY109" s="3"/>
      <c r="AZ109" s="3">
        <f t="shared" si="6"/>
        <v>19158696</v>
      </c>
      <c r="BA109" s="3"/>
      <c r="BB109" s="3">
        <v>5746</v>
      </c>
      <c r="BC109" s="3"/>
      <c r="BD109" s="3">
        <v>0</v>
      </c>
      <c r="BE109" s="16" t="s">
        <v>373</v>
      </c>
      <c r="BG109" s="16" t="s">
        <v>172</v>
      </c>
      <c r="BH109" s="3"/>
      <c r="BI109" s="3"/>
      <c r="BJ109" s="3"/>
      <c r="BK109" s="3"/>
      <c r="BL109" s="3"/>
      <c r="BM109" s="3">
        <f t="shared" si="10"/>
        <v>19164442</v>
      </c>
      <c r="BN109" s="3"/>
      <c r="BO109" s="3">
        <f>GenRev!AS109-BM109</f>
        <v>413783</v>
      </c>
      <c r="BP109" s="3"/>
      <c r="BQ109" s="3">
        <v>4913107</v>
      </c>
      <c r="BR109" s="3"/>
      <c r="BS109" s="3">
        <v>0</v>
      </c>
      <c r="BT109" s="3"/>
      <c r="BU109" s="3">
        <f t="shared" ref="BU109" si="11">+BQ109+BO109-BS109</f>
        <v>5326890</v>
      </c>
      <c r="BV109" s="3"/>
      <c r="BW109" s="17">
        <f>+BU109-GenBS!AC109</f>
        <v>0</v>
      </c>
    </row>
    <row r="110" spans="1:75" s="16" customFormat="1" ht="12">
      <c r="A110" s="3" t="s">
        <v>176</v>
      </c>
      <c r="B110" s="3"/>
      <c r="C110" s="3" t="s">
        <v>242</v>
      </c>
      <c r="D110" s="3"/>
      <c r="E110" s="3">
        <v>124297</v>
      </c>
      <c r="F110" s="3"/>
      <c r="G110" s="3">
        <v>266438</v>
      </c>
      <c r="H110" s="3"/>
      <c r="I110" s="3">
        <v>5396645</v>
      </c>
      <c r="J110" s="3"/>
      <c r="K110" s="3">
        <v>0</v>
      </c>
      <c r="L110" s="3"/>
      <c r="M110" s="3">
        <v>0</v>
      </c>
      <c r="N110" s="3"/>
      <c r="O110" s="3">
        <v>4679402</v>
      </c>
      <c r="P110" s="3"/>
      <c r="Q110" s="3">
        <v>6268771</v>
      </c>
      <c r="R110" s="3"/>
      <c r="S110" s="3">
        <v>91003</v>
      </c>
      <c r="T110" s="3"/>
      <c r="U110" s="3">
        <v>637862</v>
      </c>
      <c r="V110" s="3"/>
      <c r="W110" s="3">
        <v>367008</v>
      </c>
      <c r="X110" s="3"/>
      <c r="Y110" s="3">
        <v>73651</v>
      </c>
      <c r="Z110" s="3"/>
      <c r="AA110" s="3">
        <v>585800</v>
      </c>
      <c r="AB110" s="3"/>
      <c r="AC110" s="3">
        <v>50577</v>
      </c>
      <c r="AD110" s="16" t="s">
        <v>176</v>
      </c>
      <c r="AF110" s="3" t="s">
        <v>242</v>
      </c>
      <c r="AG110" s="3"/>
      <c r="AH110" s="3">
        <v>211511</v>
      </c>
      <c r="AI110" s="3"/>
      <c r="AJ110" s="3">
        <v>0</v>
      </c>
      <c r="AK110" s="3"/>
      <c r="AL110" s="3">
        <v>0</v>
      </c>
      <c r="AM110" s="3"/>
      <c r="AN110" s="3">
        <v>0</v>
      </c>
      <c r="AO110" s="3"/>
      <c r="AP110" s="3">
        <v>0</v>
      </c>
      <c r="AQ110" s="3"/>
      <c r="AR110" s="3">
        <v>44149</v>
      </c>
      <c r="AS110" s="3"/>
      <c r="AT110" s="3">
        <v>0</v>
      </c>
      <c r="AU110" s="3"/>
      <c r="AV110" s="3">
        <v>13915</v>
      </c>
      <c r="AW110" s="3"/>
      <c r="AX110" s="3">
        <v>1108</v>
      </c>
      <c r="AY110" s="3"/>
      <c r="AZ110" s="3">
        <f t="shared" si="6"/>
        <v>18687840</v>
      </c>
      <c r="BA110" s="3"/>
      <c r="BB110" s="3">
        <v>58962</v>
      </c>
      <c r="BC110" s="3"/>
      <c r="BD110" s="3">
        <v>0</v>
      </c>
      <c r="BE110" s="16" t="s">
        <v>176</v>
      </c>
      <c r="BG110" s="3" t="s">
        <v>242</v>
      </c>
      <c r="BH110" s="3"/>
      <c r="BI110" s="3"/>
      <c r="BJ110" s="3"/>
      <c r="BK110" s="3"/>
      <c r="BL110" s="3"/>
      <c r="BM110" s="3">
        <f t="shared" si="10"/>
        <v>18746802</v>
      </c>
      <c r="BN110" s="3"/>
      <c r="BO110" s="3">
        <f>GenRev!AS110-BM110</f>
        <v>-521528</v>
      </c>
      <c r="BP110" s="3"/>
      <c r="BQ110" s="3">
        <v>5915293</v>
      </c>
      <c r="BR110" s="3"/>
      <c r="BS110" s="3">
        <v>0</v>
      </c>
      <c r="BT110" s="3"/>
      <c r="BU110" s="3">
        <f t="shared" si="7"/>
        <v>5393765</v>
      </c>
      <c r="BV110" s="3"/>
      <c r="BW110" s="17">
        <f>+BU110-GenBS!AC110</f>
        <v>0</v>
      </c>
    </row>
    <row r="111" spans="1:75" s="16" customFormat="1" ht="12">
      <c r="A111" s="3" t="s">
        <v>314</v>
      </c>
      <c r="B111" s="3"/>
      <c r="C111" s="3" t="s">
        <v>320</v>
      </c>
      <c r="D111" s="3"/>
      <c r="E111" s="3">
        <v>123521</v>
      </c>
      <c r="F111" s="3"/>
      <c r="G111" s="3">
        <v>178081</v>
      </c>
      <c r="H111" s="3"/>
      <c r="I111" s="3">
        <v>2186075</v>
      </c>
      <c r="J111" s="3"/>
      <c r="K111" s="3">
        <v>0</v>
      </c>
      <c r="L111" s="3"/>
      <c r="M111" s="3">
        <v>40840</v>
      </c>
      <c r="N111" s="3"/>
      <c r="O111" s="3">
        <v>1908529</v>
      </c>
      <c r="P111" s="3"/>
      <c r="Q111" s="3">
        <v>2308821</v>
      </c>
      <c r="R111" s="3"/>
      <c r="S111" s="3">
        <v>36933</v>
      </c>
      <c r="T111" s="3"/>
      <c r="U111" s="3">
        <v>853487</v>
      </c>
      <c r="V111" s="3"/>
      <c r="W111" s="3">
        <v>225248</v>
      </c>
      <c r="X111" s="3"/>
      <c r="Y111" s="3">
        <v>0</v>
      </c>
      <c r="Z111" s="3"/>
      <c r="AA111" s="3">
        <v>88914</v>
      </c>
      <c r="AC111" s="3">
        <v>12806</v>
      </c>
      <c r="AD111" s="16" t="s">
        <v>314</v>
      </c>
      <c r="AF111" s="3" t="s">
        <v>320</v>
      </c>
      <c r="AG111" s="3"/>
      <c r="AH111" s="3">
        <v>444</v>
      </c>
      <c r="AI111" s="3"/>
      <c r="AJ111" s="3">
        <v>0</v>
      </c>
      <c r="AK111" s="3"/>
      <c r="AL111" s="3">
        <v>0</v>
      </c>
      <c r="AM111" s="3"/>
      <c r="AN111" s="3">
        <v>3026</v>
      </c>
      <c r="AO111" s="3"/>
      <c r="AP111" s="3">
        <v>52449</v>
      </c>
      <c r="AQ111" s="3"/>
      <c r="AR111" s="3">
        <v>18352</v>
      </c>
      <c r="AS111" s="3"/>
      <c r="AT111" s="3">
        <v>0</v>
      </c>
      <c r="AU111" s="3"/>
      <c r="AV111" s="3">
        <v>5640</v>
      </c>
      <c r="AW111" s="3"/>
      <c r="AX111" s="3">
        <v>2451</v>
      </c>
      <c r="AY111" s="3"/>
      <c r="AZ111" s="3">
        <f t="shared" si="6"/>
        <v>7922096</v>
      </c>
      <c r="BA111" s="3"/>
      <c r="BB111" s="3">
        <v>48855</v>
      </c>
      <c r="BC111" s="3"/>
      <c r="BD111" s="3">
        <v>0</v>
      </c>
      <c r="BE111" s="16" t="s">
        <v>314</v>
      </c>
      <c r="BG111" s="3" t="s">
        <v>320</v>
      </c>
      <c r="BH111" s="3"/>
      <c r="BI111" s="3"/>
      <c r="BJ111" s="3"/>
      <c r="BK111" s="3"/>
      <c r="BL111" s="3"/>
      <c r="BM111" s="3">
        <f t="shared" si="10"/>
        <v>7970951</v>
      </c>
      <c r="BN111" s="3"/>
      <c r="BO111" s="3">
        <f>GenRev!AS111-BM111</f>
        <v>367865</v>
      </c>
      <c r="BP111" s="3"/>
      <c r="BQ111" s="3">
        <v>633552</v>
      </c>
      <c r="BR111" s="3"/>
      <c r="BS111" s="3">
        <v>0</v>
      </c>
      <c r="BT111" s="3"/>
      <c r="BU111" s="3">
        <f t="shared" si="7"/>
        <v>1001417</v>
      </c>
      <c r="BV111" s="3"/>
      <c r="BW111" s="17">
        <f>+BU111-GenBS!AC111</f>
        <v>0</v>
      </c>
    </row>
    <row r="112" spans="1:75" s="16" customFormat="1" ht="12">
      <c r="A112" s="3" t="s">
        <v>202</v>
      </c>
      <c r="B112" s="3"/>
      <c r="C112" s="3" t="s">
        <v>203</v>
      </c>
      <c r="D112" s="3"/>
      <c r="E112" s="3">
        <v>125674</v>
      </c>
      <c r="F112" s="3"/>
      <c r="G112" s="3">
        <v>555930</v>
      </c>
      <c r="H112" s="3"/>
      <c r="I112" s="3">
        <v>904442</v>
      </c>
      <c r="J112" s="3"/>
      <c r="K112" s="3">
        <v>0</v>
      </c>
      <c r="L112" s="3"/>
      <c r="M112" s="3">
        <v>19373</v>
      </c>
      <c r="N112" s="3"/>
      <c r="O112" s="3">
        <v>661683</v>
      </c>
      <c r="P112" s="3"/>
      <c r="Q112" s="3">
        <v>1459999</v>
      </c>
      <c r="R112" s="3"/>
      <c r="S112" s="3">
        <v>46127</v>
      </c>
      <c r="T112" s="3"/>
      <c r="U112" s="3">
        <v>264566</v>
      </c>
      <c r="V112" s="3"/>
      <c r="W112" s="3">
        <v>187550</v>
      </c>
      <c r="X112" s="3"/>
      <c r="Y112" s="3">
        <v>0</v>
      </c>
      <c r="Z112" s="3"/>
      <c r="AA112" s="3">
        <v>70116</v>
      </c>
      <c r="AC112" s="3">
        <v>1242</v>
      </c>
      <c r="AD112" s="16" t="s">
        <v>202</v>
      </c>
      <c r="AF112" s="16" t="s">
        <v>203</v>
      </c>
      <c r="AG112" s="3"/>
      <c r="AH112" s="3">
        <v>90636</v>
      </c>
      <c r="AI112" s="3"/>
      <c r="AJ112" s="3">
        <v>0</v>
      </c>
      <c r="AK112" s="3"/>
      <c r="AL112" s="3">
        <v>0</v>
      </c>
      <c r="AM112" s="3"/>
      <c r="AN112" s="3">
        <v>143</v>
      </c>
      <c r="AO112" s="3"/>
      <c r="AP112" s="3">
        <v>0</v>
      </c>
      <c r="AQ112" s="3"/>
      <c r="AR112" s="3">
        <v>0</v>
      </c>
      <c r="AS112" s="3"/>
      <c r="AT112" s="3">
        <v>0</v>
      </c>
      <c r="AU112" s="3"/>
      <c r="AV112" s="3">
        <v>12180</v>
      </c>
      <c r="AW112" s="3"/>
      <c r="AX112" s="3">
        <v>3863</v>
      </c>
      <c r="AY112" s="3"/>
      <c r="AZ112" s="3">
        <f t="shared" si="6"/>
        <v>4277850</v>
      </c>
      <c r="BA112" s="3"/>
      <c r="BB112" s="3">
        <v>0</v>
      </c>
      <c r="BC112" s="3"/>
      <c r="BD112" s="3">
        <v>0</v>
      </c>
      <c r="BE112" s="16" t="s">
        <v>202</v>
      </c>
      <c r="BG112" s="16" t="s">
        <v>203</v>
      </c>
      <c r="BH112" s="3"/>
      <c r="BI112" s="3">
        <v>0</v>
      </c>
      <c r="BJ112" s="3"/>
      <c r="BK112" s="3">
        <v>0</v>
      </c>
      <c r="BL112" s="3"/>
      <c r="BM112" s="3">
        <f t="shared" si="10"/>
        <v>4277850</v>
      </c>
      <c r="BN112" s="3"/>
      <c r="BO112" s="3">
        <f>GenRev!AS112-BM112</f>
        <v>100822</v>
      </c>
      <c r="BP112" s="3"/>
      <c r="BQ112" s="3">
        <v>-281185</v>
      </c>
      <c r="BR112" s="3"/>
      <c r="BS112" s="3">
        <v>0</v>
      </c>
      <c r="BT112" s="3"/>
      <c r="BU112" s="3">
        <f t="shared" si="7"/>
        <v>-180363</v>
      </c>
      <c r="BV112" s="3"/>
      <c r="BW112" s="17">
        <f>+BU112-GenBS!AC112</f>
        <v>0</v>
      </c>
    </row>
    <row r="113" spans="1:75" s="16" customFormat="1" ht="12">
      <c r="A113" s="3" t="s">
        <v>204</v>
      </c>
      <c r="B113" s="3"/>
      <c r="C113" s="3" t="s">
        <v>205</v>
      </c>
      <c r="D113" s="3"/>
      <c r="E113" s="3">
        <v>49072</v>
      </c>
      <c r="F113" s="3"/>
      <c r="G113" s="3">
        <v>22892</v>
      </c>
      <c r="H113" s="3"/>
      <c r="I113" s="3">
        <v>135249</v>
      </c>
      <c r="J113" s="3"/>
      <c r="K113" s="3">
        <v>0</v>
      </c>
      <c r="L113" s="3"/>
      <c r="M113" s="3">
        <v>0</v>
      </c>
      <c r="N113" s="3"/>
      <c r="O113" s="3">
        <v>1715556</v>
      </c>
      <c r="P113" s="3"/>
      <c r="Q113" s="3">
        <v>410743</v>
      </c>
      <c r="R113" s="3"/>
      <c r="S113" s="3">
        <v>48711</v>
      </c>
      <c r="T113" s="3"/>
      <c r="U113" s="3">
        <v>238046</v>
      </c>
      <c r="V113" s="3"/>
      <c r="W113" s="3">
        <v>122655</v>
      </c>
      <c r="X113" s="3"/>
      <c r="Y113" s="3">
        <v>23050</v>
      </c>
      <c r="Z113" s="3"/>
      <c r="AA113" s="3">
        <v>35862</v>
      </c>
      <c r="AC113" s="3">
        <v>0</v>
      </c>
      <c r="AD113" s="16" t="s">
        <v>204</v>
      </c>
      <c r="AF113" s="16" t="s">
        <v>205</v>
      </c>
      <c r="AG113" s="3"/>
      <c r="AH113" s="3">
        <v>1000</v>
      </c>
      <c r="AI113" s="3"/>
      <c r="AJ113" s="3">
        <v>0</v>
      </c>
      <c r="AK113" s="3"/>
      <c r="AL113" s="3">
        <v>0</v>
      </c>
      <c r="AM113" s="3"/>
      <c r="AN113" s="3">
        <v>0</v>
      </c>
      <c r="AO113" s="3"/>
      <c r="AP113" s="3">
        <v>0</v>
      </c>
      <c r="AQ113" s="3"/>
      <c r="AR113" s="3">
        <v>0</v>
      </c>
      <c r="AS113" s="3"/>
      <c r="AT113" s="3">
        <v>0</v>
      </c>
      <c r="AU113" s="3"/>
      <c r="AV113" s="3">
        <v>0</v>
      </c>
      <c r="AW113" s="3"/>
      <c r="AX113" s="3">
        <v>0</v>
      </c>
      <c r="AY113" s="3"/>
      <c r="AZ113" s="3">
        <f t="shared" si="6"/>
        <v>2753764</v>
      </c>
      <c r="BA113" s="3"/>
      <c r="BB113" s="3">
        <v>40000</v>
      </c>
      <c r="BC113" s="3"/>
      <c r="BD113" s="3">
        <v>0</v>
      </c>
      <c r="BE113" s="16" t="s">
        <v>204</v>
      </c>
      <c r="BG113" s="16" t="s">
        <v>205</v>
      </c>
      <c r="BH113" s="3"/>
      <c r="BI113" s="3">
        <v>0</v>
      </c>
      <c r="BJ113" s="3"/>
      <c r="BK113" s="3">
        <v>0</v>
      </c>
      <c r="BL113" s="3"/>
      <c r="BM113" s="3">
        <f t="shared" si="10"/>
        <v>2793764</v>
      </c>
      <c r="BN113" s="3"/>
      <c r="BO113" s="3">
        <f>GenRev!AS113-BM113</f>
        <v>-106306</v>
      </c>
      <c r="BP113" s="3"/>
      <c r="BQ113" s="3">
        <v>428778</v>
      </c>
      <c r="BR113" s="3"/>
      <c r="BS113" s="3">
        <v>0</v>
      </c>
      <c r="BT113" s="3"/>
      <c r="BU113" s="3">
        <f t="shared" si="7"/>
        <v>322472</v>
      </c>
      <c r="BV113" s="3"/>
      <c r="BW113" s="17">
        <f>+BU113-GenBS!AC113</f>
        <v>0</v>
      </c>
    </row>
    <row r="114" spans="1:75" s="16" customFormat="1" ht="12">
      <c r="A114" s="3" t="s">
        <v>206</v>
      </c>
      <c r="B114" s="3"/>
      <c r="C114" s="3" t="s">
        <v>207</v>
      </c>
      <c r="D114" s="3"/>
      <c r="E114" s="3">
        <v>49163</v>
      </c>
      <c r="F114" s="3"/>
      <c r="G114" s="3">
        <v>72122</v>
      </c>
      <c r="H114" s="3"/>
      <c r="I114" s="3">
        <v>1641369</v>
      </c>
      <c r="J114" s="3"/>
      <c r="K114" s="3">
        <v>0</v>
      </c>
      <c r="L114" s="3"/>
      <c r="M114" s="3">
        <v>0</v>
      </c>
      <c r="N114" s="3"/>
      <c r="O114" s="3">
        <v>1437710</v>
      </c>
      <c r="P114" s="3"/>
      <c r="Q114" s="3">
        <v>2167243</v>
      </c>
      <c r="R114" s="3"/>
      <c r="S114" s="3">
        <v>87199</v>
      </c>
      <c r="T114" s="3"/>
      <c r="U114" s="3">
        <v>605557</v>
      </c>
      <c r="V114" s="3"/>
      <c r="W114" s="3">
        <v>237184</v>
      </c>
      <c r="X114" s="3"/>
      <c r="Y114" s="3">
        <v>86031</v>
      </c>
      <c r="Z114" s="3"/>
      <c r="AA114" s="3">
        <v>59210</v>
      </c>
      <c r="AC114" s="3">
        <v>9909</v>
      </c>
      <c r="AD114" s="16" t="s">
        <v>206</v>
      </c>
      <c r="AF114" s="16" t="s">
        <v>207</v>
      </c>
      <c r="AG114" s="3"/>
      <c r="AH114" s="3">
        <v>0</v>
      </c>
      <c r="AI114" s="3"/>
      <c r="AJ114" s="3">
        <v>0</v>
      </c>
      <c r="AK114" s="3"/>
      <c r="AL114" s="3">
        <v>49</v>
      </c>
      <c r="AM114" s="3"/>
      <c r="AN114" s="3">
        <v>0</v>
      </c>
      <c r="AO114" s="3"/>
      <c r="AP114" s="3">
        <v>7969</v>
      </c>
      <c r="AQ114" s="3"/>
      <c r="AR114" s="3">
        <v>0</v>
      </c>
      <c r="AS114" s="3"/>
      <c r="AT114" s="3">
        <v>0</v>
      </c>
      <c r="AU114" s="3"/>
      <c r="AV114" s="3">
        <v>10274</v>
      </c>
      <c r="AW114" s="3"/>
      <c r="AX114" s="3">
        <v>776</v>
      </c>
      <c r="AY114" s="3"/>
      <c r="AZ114" s="3">
        <f t="shared" si="6"/>
        <v>6422602</v>
      </c>
      <c r="BA114" s="3"/>
      <c r="BB114" s="3">
        <v>0</v>
      </c>
      <c r="BC114" s="3"/>
      <c r="BD114" s="3">
        <v>0</v>
      </c>
      <c r="BE114" s="16" t="s">
        <v>206</v>
      </c>
      <c r="BG114" s="16" t="s">
        <v>207</v>
      </c>
      <c r="BH114" s="3"/>
      <c r="BI114" s="3">
        <v>0</v>
      </c>
      <c r="BJ114" s="3"/>
      <c r="BK114" s="3">
        <v>0</v>
      </c>
      <c r="BL114" s="3"/>
      <c r="BM114" s="3">
        <f t="shared" si="10"/>
        <v>6422602</v>
      </c>
      <c r="BN114" s="3"/>
      <c r="BO114" s="3">
        <f>GenRev!AS114-BM114</f>
        <v>-185735</v>
      </c>
      <c r="BP114" s="3"/>
      <c r="BQ114" s="3">
        <v>522121</v>
      </c>
      <c r="BR114" s="3"/>
      <c r="BS114" s="3">
        <v>0</v>
      </c>
      <c r="BT114" s="3"/>
      <c r="BU114" s="3">
        <f t="shared" si="7"/>
        <v>336386</v>
      </c>
      <c r="BV114" s="3"/>
      <c r="BW114" s="17">
        <f>+BU114-GenBS!AC114</f>
        <v>0</v>
      </c>
    </row>
    <row r="115" spans="1:75" s="16" customFormat="1" ht="12" hidden="1">
      <c r="A115" s="3" t="s">
        <v>349</v>
      </c>
      <c r="B115" s="3"/>
      <c r="C115" s="3" t="s">
        <v>209</v>
      </c>
      <c r="D115" s="3"/>
      <c r="E115" s="3">
        <v>49254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C115" s="3"/>
      <c r="AD115" s="16" t="s">
        <v>208</v>
      </c>
      <c r="AF115" s="16" t="s">
        <v>209</v>
      </c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>
        <f t="shared" si="6"/>
        <v>0</v>
      </c>
      <c r="BA115" s="3"/>
      <c r="BB115" s="3"/>
      <c r="BC115" s="3"/>
      <c r="BD115" s="3"/>
      <c r="BE115" s="16" t="s">
        <v>208</v>
      </c>
      <c r="BG115" s="16" t="s">
        <v>209</v>
      </c>
      <c r="BH115" s="3"/>
      <c r="BI115" s="3"/>
      <c r="BJ115" s="3"/>
      <c r="BK115" s="3"/>
      <c r="BL115" s="3"/>
      <c r="BM115" s="3">
        <f t="shared" si="10"/>
        <v>0</v>
      </c>
      <c r="BN115" s="3"/>
      <c r="BO115" s="3">
        <f>GenRev!AS115-BM115</f>
        <v>0</v>
      </c>
      <c r="BP115" s="3"/>
      <c r="BQ115" s="3"/>
      <c r="BR115" s="3"/>
      <c r="BS115" s="3"/>
      <c r="BT115" s="3"/>
      <c r="BU115" s="3">
        <f t="shared" si="7"/>
        <v>0</v>
      </c>
      <c r="BV115" s="3"/>
      <c r="BW115" s="17">
        <f>+BU115-GenBS!AC115</f>
        <v>0</v>
      </c>
    </row>
    <row r="116" spans="1:75" s="16" customFormat="1" ht="12">
      <c r="A116" s="3" t="s">
        <v>210</v>
      </c>
      <c r="B116" s="3"/>
      <c r="C116" s="3" t="s">
        <v>211</v>
      </c>
      <c r="D116" s="3"/>
      <c r="E116" s="3">
        <v>49304</v>
      </c>
      <c r="F116" s="3"/>
      <c r="G116" s="3">
        <v>88856</v>
      </c>
      <c r="H116" s="3"/>
      <c r="I116" s="3">
        <v>703912</v>
      </c>
      <c r="J116" s="3"/>
      <c r="K116" s="3">
        <v>0</v>
      </c>
      <c r="L116" s="3"/>
      <c r="M116" s="3">
        <v>4248</v>
      </c>
      <c r="N116" s="3"/>
      <c r="O116" s="3">
        <v>701179</v>
      </c>
      <c r="P116" s="3"/>
      <c r="Q116" s="3">
        <v>906338</v>
      </c>
      <c r="R116" s="3"/>
      <c r="S116" s="3">
        <v>25877</v>
      </c>
      <c r="T116" s="3"/>
      <c r="U116" s="3">
        <v>214652</v>
      </c>
      <c r="V116" s="3"/>
      <c r="W116" s="3">
        <v>232370</v>
      </c>
      <c r="X116" s="3"/>
      <c r="Y116" s="3">
        <v>0</v>
      </c>
      <c r="Z116" s="3"/>
      <c r="AA116" s="3">
        <v>148149</v>
      </c>
      <c r="AC116" s="3">
        <v>5176</v>
      </c>
      <c r="AD116" s="16" t="s">
        <v>210</v>
      </c>
      <c r="AF116" s="16" t="s">
        <v>211</v>
      </c>
      <c r="AG116" s="3"/>
      <c r="AH116" s="3">
        <v>3203</v>
      </c>
      <c r="AI116" s="3"/>
      <c r="AJ116" s="3">
        <v>0</v>
      </c>
      <c r="AK116" s="3"/>
      <c r="AL116" s="3">
        <v>0</v>
      </c>
      <c r="AM116" s="3"/>
      <c r="AN116" s="3">
        <v>0</v>
      </c>
      <c r="AO116" s="3"/>
      <c r="AP116" s="3">
        <v>0</v>
      </c>
      <c r="AQ116" s="3"/>
      <c r="AR116" s="3">
        <v>32147</v>
      </c>
      <c r="AS116" s="3"/>
      <c r="AT116" s="3">
        <v>0</v>
      </c>
      <c r="AU116" s="3"/>
      <c r="AV116" s="3">
        <v>45961</v>
      </c>
      <c r="AW116" s="3"/>
      <c r="AX116" s="3">
        <v>30134</v>
      </c>
      <c r="AY116" s="3"/>
      <c r="AZ116" s="3">
        <f t="shared" si="6"/>
        <v>3142202</v>
      </c>
      <c r="BA116" s="3"/>
      <c r="BB116" s="3">
        <v>0</v>
      </c>
      <c r="BC116" s="3"/>
      <c r="BD116" s="3">
        <v>0</v>
      </c>
      <c r="BE116" s="16" t="s">
        <v>210</v>
      </c>
      <c r="BG116" s="16" t="s">
        <v>211</v>
      </c>
      <c r="BH116" s="3"/>
      <c r="BI116" s="3">
        <v>0</v>
      </c>
      <c r="BJ116" s="3"/>
      <c r="BK116" s="3">
        <v>0</v>
      </c>
      <c r="BL116" s="3"/>
      <c r="BM116" s="3">
        <f t="shared" si="10"/>
        <v>3142202</v>
      </c>
      <c r="BN116" s="3"/>
      <c r="BO116" s="3">
        <f>GenRev!AS116-BM116</f>
        <v>57260</v>
      </c>
      <c r="BP116" s="3"/>
      <c r="BQ116" s="3">
        <v>732891</v>
      </c>
      <c r="BR116" s="3"/>
      <c r="BS116" s="3">
        <v>0</v>
      </c>
      <c r="BT116" s="3"/>
      <c r="BU116" s="3">
        <f t="shared" si="7"/>
        <v>790151</v>
      </c>
      <c r="BV116" s="3"/>
      <c r="BW116" s="17">
        <f>+BU116-GenBS!AC116</f>
        <v>0</v>
      </c>
    </row>
    <row r="117" spans="1:75" s="16" customFormat="1" ht="12">
      <c r="A117" s="3" t="s">
        <v>213</v>
      </c>
      <c r="B117" s="3"/>
      <c r="C117" s="3" t="s">
        <v>214</v>
      </c>
      <c r="D117" s="3"/>
      <c r="E117" s="3">
        <v>138222</v>
      </c>
      <c r="F117" s="3"/>
      <c r="G117" s="3">
        <v>5343</v>
      </c>
      <c r="H117" s="3"/>
      <c r="I117" s="3">
        <v>2927165</v>
      </c>
      <c r="J117" s="3"/>
      <c r="K117" s="3">
        <v>0</v>
      </c>
      <c r="L117" s="3"/>
      <c r="M117" s="3">
        <v>8215</v>
      </c>
      <c r="N117" s="3"/>
      <c r="O117" s="3">
        <v>1837078</v>
      </c>
      <c r="P117" s="3"/>
      <c r="Q117" s="3">
        <v>1382354</v>
      </c>
      <c r="R117" s="3"/>
      <c r="S117" s="3">
        <v>75137</v>
      </c>
      <c r="T117" s="3"/>
      <c r="U117" s="3">
        <v>385860</v>
      </c>
      <c r="V117" s="3"/>
      <c r="W117" s="3">
        <v>229754</v>
      </c>
      <c r="X117" s="3"/>
      <c r="Y117" s="3">
        <v>0</v>
      </c>
      <c r="Z117" s="3"/>
      <c r="AA117" s="3">
        <v>112691</v>
      </c>
      <c r="AC117" s="3">
        <v>0</v>
      </c>
      <c r="AD117" s="16" t="s">
        <v>213</v>
      </c>
      <c r="AF117" s="16" t="s">
        <v>214</v>
      </c>
      <c r="AG117" s="3"/>
      <c r="AH117" s="3">
        <v>54131</v>
      </c>
      <c r="AI117" s="3"/>
      <c r="AJ117" s="3">
        <v>0</v>
      </c>
      <c r="AK117" s="3"/>
      <c r="AL117" s="3">
        <v>0</v>
      </c>
      <c r="AM117" s="3"/>
      <c r="AN117" s="3">
        <v>38387</v>
      </c>
      <c r="AO117" s="3"/>
      <c r="AP117" s="3">
        <v>0</v>
      </c>
      <c r="AQ117" s="3"/>
      <c r="AR117" s="3">
        <v>0</v>
      </c>
      <c r="AS117" s="3"/>
      <c r="AT117" s="3">
        <v>0</v>
      </c>
      <c r="AU117" s="3"/>
      <c r="AV117" s="3">
        <v>0</v>
      </c>
      <c r="AW117" s="3"/>
      <c r="AX117" s="3">
        <v>0</v>
      </c>
      <c r="AY117" s="3"/>
      <c r="AZ117" s="3">
        <f t="shared" si="6"/>
        <v>7056115</v>
      </c>
      <c r="BA117" s="3"/>
      <c r="BB117" s="3">
        <v>0</v>
      </c>
      <c r="BC117" s="3"/>
      <c r="BD117" s="3">
        <v>0</v>
      </c>
      <c r="BE117" s="16" t="s">
        <v>213</v>
      </c>
      <c r="BG117" s="16" t="s">
        <v>214</v>
      </c>
      <c r="BH117" s="3"/>
      <c r="BI117" s="3">
        <v>0</v>
      </c>
      <c r="BJ117" s="3"/>
      <c r="BK117" s="3">
        <v>0</v>
      </c>
      <c r="BL117" s="3"/>
      <c r="BM117" s="3">
        <f t="shared" si="10"/>
        <v>7056115</v>
      </c>
      <c r="BN117" s="3"/>
      <c r="BO117" s="3">
        <f>GenRev!AS117-BM117</f>
        <v>-76961</v>
      </c>
      <c r="BP117" s="3"/>
      <c r="BQ117" s="3">
        <v>2822490</v>
      </c>
      <c r="BR117" s="3"/>
      <c r="BS117" s="3">
        <v>0</v>
      </c>
      <c r="BT117" s="3"/>
      <c r="BU117" s="3">
        <f t="shared" si="7"/>
        <v>2745529</v>
      </c>
      <c r="BV117" s="3"/>
      <c r="BW117" s="17">
        <f>+BU117-GenBS!AC117</f>
        <v>0</v>
      </c>
    </row>
    <row r="118" spans="1:75" s="16" customFormat="1" ht="11.25" hidden="1" customHeight="1">
      <c r="A118" s="3" t="s">
        <v>386</v>
      </c>
      <c r="B118" s="3"/>
      <c r="C118" s="3" t="s">
        <v>216</v>
      </c>
      <c r="D118" s="3"/>
      <c r="E118" s="3">
        <v>49551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C118" s="3"/>
      <c r="AD118" s="16" t="s">
        <v>215</v>
      </c>
      <c r="AF118" s="16" t="s">
        <v>216</v>
      </c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>
        <f t="shared" si="6"/>
        <v>0</v>
      </c>
      <c r="BA118" s="3"/>
      <c r="BB118" s="3"/>
      <c r="BC118" s="3"/>
      <c r="BD118" s="3"/>
      <c r="BE118" s="16" t="s">
        <v>215</v>
      </c>
      <c r="BG118" s="16" t="s">
        <v>216</v>
      </c>
      <c r="BH118" s="3"/>
      <c r="BI118" s="3"/>
      <c r="BJ118" s="3"/>
      <c r="BK118" s="3"/>
      <c r="BL118" s="3"/>
      <c r="BM118" s="3">
        <f t="shared" si="10"/>
        <v>0</v>
      </c>
      <c r="BN118" s="3"/>
      <c r="BO118" s="3">
        <f>GenRev!AS118-BM118</f>
        <v>0</v>
      </c>
      <c r="BP118" s="3"/>
      <c r="BQ118" s="3"/>
      <c r="BR118" s="3"/>
      <c r="BS118" s="3"/>
      <c r="BT118" s="3"/>
      <c r="BU118" s="3">
        <f t="shared" si="7"/>
        <v>0</v>
      </c>
      <c r="BV118" s="3"/>
      <c r="BW118" s="17">
        <f>+BU118-GenBS!AC118</f>
        <v>0</v>
      </c>
    </row>
    <row r="119" spans="1:75" s="16" customFormat="1" ht="12">
      <c r="A119" s="3" t="s">
        <v>219</v>
      </c>
      <c r="B119" s="3"/>
      <c r="C119" s="3" t="s">
        <v>220</v>
      </c>
      <c r="D119" s="3"/>
      <c r="E119" s="3">
        <v>49742</v>
      </c>
      <c r="F119" s="3"/>
      <c r="G119" s="3">
        <v>42567</v>
      </c>
      <c r="H119" s="3"/>
      <c r="I119" s="3">
        <v>1434342</v>
      </c>
      <c r="J119" s="3"/>
      <c r="K119" s="3">
        <v>0</v>
      </c>
      <c r="L119" s="3"/>
      <c r="M119" s="3">
        <v>0</v>
      </c>
      <c r="N119" s="3"/>
      <c r="O119" s="3">
        <v>989910</v>
      </c>
      <c r="P119" s="3"/>
      <c r="Q119" s="3">
        <v>578745</v>
      </c>
      <c r="R119" s="3"/>
      <c r="S119" s="3">
        <v>31513</v>
      </c>
      <c r="T119" s="3"/>
      <c r="U119" s="3">
        <v>277633</v>
      </c>
      <c r="V119" s="3"/>
      <c r="W119" s="3">
        <v>160236</v>
      </c>
      <c r="X119" s="3"/>
      <c r="Y119" s="3">
        <v>4087</v>
      </c>
      <c r="Z119" s="3"/>
      <c r="AA119" s="3">
        <v>0</v>
      </c>
      <c r="AC119" s="3">
        <v>218</v>
      </c>
      <c r="AD119" s="16" t="s">
        <v>219</v>
      </c>
      <c r="AF119" s="16" t="s">
        <v>220</v>
      </c>
      <c r="AG119" s="3"/>
      <c r="AH119" s="3">
        <v>149789</v>
      </c>
      <c r="AI119" s="3"/>
      <c r="AJ119" s="3">
        <v>0</v>
      </c>
      <c r="AK119" s="3"/>
      <c r="AL119" s="3">
        <v>0</v>
      </c>
      <c r="AM119" s="3"/>
      <c r="AN119" s="3">
        <v>0</v>
      </c>
      <c r="AO119" s="3"/>
      <c r="AP119" s="3">
        <v>0</v>
      </c>
      <c r="AQ119" s="3"/>
      <c r="AR119" s="3">
        <v>40050</v>
      </c>
      <c r="AS119" s="3"/>
      <c r="AT119" s="3">
        <v>0</v>
      </c>
      <c r="AU119" s="3"/>
      <c r="AV119" s="3">
        <v>29742</v>
      </c>
      <c r="AW119" s="3"/>
      <c r="AX119" s="3">
        <v>1882</v>
      </c>
      <c r="AY119" s="3"/>
      <c r="AZ119" s="3">
        <f t="shared" si="6"/>
        <v>3740714</v>
      </c>
      <c r="BA119" s="3"/>
      <c r="BB119" s="3">
        <v>0</v>
      </c>
      <c r="BC119" s="3"/>
      <c r="BD119" s="3">
        <v>0</v>
      </c>
      <c r="BE119" s="16" t="s">
        <v>219</v>
      </c>
      <c r="BG119" s="16" t="s">
        <v>220</v>
      </c>
      <c r="BH119" s="3"/>
      <c r="BI119" s="3">
        <v>0</v>
      </c>
      <c r="BJ119" s="3"/>
      <c r="BK119" s="3">
        <v>0</v>
      </c>
      <c r="BL119" s="3"/>
      <c r="BM119" s="3">
        <f t="shared" si="10"/>
        <v>3740714</v>
      </c>
      <c r="BN119" s="3"/>
      <c r="BO119" s="3">
        <f>GenRev!AS119-BM119</f>
        <v>-75917</v>
      </c>
      <c r="BP119" s="3"/>
      <c r="BQ119" s="3">
        <v>393088</v>
      </c>
      <c r="BR119" s="3"/>
      <c r="BS119" s="3">
        <v>0</v>
      </c>
      <c r="BT119" s="3"/>
      <c r="BU119" s="3">
        <f t="shared" si="7"/>
        <v>317171</v>
      </c>
      <c r="BV119" s="3"/>
      <c r="BW119" s="17">
        <f>+BU119-GenBS!AC119</f>
        <v>0</v>
      </c>
    </row>
    <row r="120" spans="1:75" s="16" customFormat="1" ht="12">
      <c r="A120" s="3" t="s">
        <v>324</v>
      </c>
      <c r="B120" s="3"/>
      <c r="C120" s="3" t="s">
        <v>217</v>
      </c>
      <c r="D120" s="3"/>
      <c r="E120" s="3">
        <v>125658</v>
      </c>
      <c r="F120" s="3"/>
      <c r="G120" s="3">
        <v>366361</v>
      </c>
      <c r="H120" s="3"/>
      <c r="I120" s="3">
        <v>3261944</v>
      </c>
      <c r="J120" s="3"/>
      <c r="K120" s="3">
        <v>0</v>
      </c>
      <c r="L120" s="3"/>
      <c r="M120" s="3">
        <v>15121</v>
      </c>
      <c r="N120" s="3"/>
      <c r="O120" s="3">
        <v>1773929</v>
      </c>
      <c r="P120" s="3"/>
      <c r="Q120" s="3">
        <v>733548</v>
      </c>
      <c r="R120" s="3"/>
      <c r="S120" s="3">
        <v>26786</v>
      </c>
      <c r="T120" s="3"/>
      <c r="U120" s="3">
        <v>648372</v>
      </c>
      <c r="V120" s="3"/>
      <c r="W120" s="3">
        <v>196063</v>
      </c>
      <c r="X120" s="3"/>
      <c r="Y120" s="3">
        <v>0</v>
      </c>
      <c r="Z120" s="3"/>
      <c r="AA120" s="3">
        <v>106648</v>
      </c>
      <c r="AC120" s="3">
        <v>1294</v>
      </c>
      <c r="AD120" s="16" t="s">
        <v>324</v>
      </c>
      <c r="AF120" s="16" t="s">
        <v>217</v>
      </c>
      <c r="AG120" s="3"/>
      <c r="AH120" s="3">
        <v>159469</v>
      </c>
      <c r="AI120" s="3"/>
      <c r="AJ120" s="3">
        <v>0</v>
      </c>
      <c r="AK120" s="3"/>
      <c r="AL120" s="3">
        <v>0</v>
      </c>
      <c r="AM120" s="3"/>
      <c r="AN120" s="3">
        <v>0</v>
      </c>
      <c r="AO120" s="3"/>
      <c r="AP120" s="3">
        <v>0</v>
      </c>
      <c r="AQ120" s="3"/>
      <c r="AR120" s="3">
        <v>0</v>
      </c>
      <c r="AS120" s="3"/>
      <c r="AT120" s="3">
        <v>0</v>
      </c>
      <c r="AU120" s="3"/>
      <c r="AV120" s="3">
        <v>40974</v>
      </c>
      <c r="AW120" s="3"/>
      <c r="AX120" s="3">
        <v>5290</v>
      </c>
      <c r="AY120" s="3"/>
      <c r="AZ120" s="3">
        <f t="shared" si="6"/>
        <v>7335799</v>
      </c>
      <c r="BA120" s="3"/>
      <c r="BB120" s="3">
        <v>0</v>
      </c>
      <c r="BC120" s="3"/>
      <c r="BD120" s="3">
        <v>0</v>
      </c>
      <c r="BE120" s="16" t="s">
        <v>324</v>
      </c>
      <c r="BG120" s="16" t="s">
        <v>217</v>
      </c>
      <c r="BH120" s="3"/>
      <c r="BI120" s="3">
        <v>0</v>
      </c>
      <c r="BJ120" s="3"/>
      <c r="BK120" s="3">
        <v>0</v>
      </c>
      <c r="BL120" s="3"/>
      <c r="BM120" s="3">
        <f t="shared" si="10"/>
        <v>7335799</v>
      </c>
      <c r="BN120" s="3"/>
      <c r="BO120" s="3">
        <f>GenRev!AS120-BM120</f>
        <v>142075</v>
      </c>
      <c r="BP120" s="3"/>
      <c r="BQ120" s="3">
        <v>477045</v>
      </c>
      <c r="BR120" s="3"/>
      <c r="BS120" s="3">
        <v>0</v>
      </c>
      <c r="BT120" s="3"/>
      <c r="BU120" s="3">
        <f t="shared" si="7"/>
        <v>619120</v>
      </c>
      <c r="BV120" s="3"/>
      <c r="BW120" s="17">
        <f>+BU120-GenBS!AC120</f>
        <v>0</v>
      </c>
    </row>
    <row r="121" spans="1:75" s="16" customFormat="1" ht="12">
      <c r="A121" s="3" t="s">
        <v>323</v>
      </c>
      <c r="B121" s="3"/>
      <c r="C121" s="3" t="s">
        <v>164</v>
      </c>
      <c r="D121" s="3"/>
      <c r="E121" s="3"/>
      <c r="F121" s="3"/>
      <c r="G121" s="3">
        <v>427475</v>
      </c>
      <c r="H121" s="3"/>
      <c r="I121" s="3">
        <v>555291</v>
      </c>
      <c r="J121" s="3"/>
      <c r="K121" s="3">
        <v>0</v>
      </c>
      <c r="L121" s="3"/>
      <c r="M121" s="3">
        <v>0</v>
      </c>
      <c r="N121" s="3"/>
      <c r="O121" s="3">
        <v>355121</v>
      </c>
      <c r="P121" s="3"/>
      <c r="Q121" s="3">
        <v>1278946</v>
      </c>
      <c r="R121" s="3"/>
      <c r="S121" s="3">
        <v>30853</v>
      </c>
      <c r="T121" s="3"/>
      <c r="U121" s="3">
        <v>601178</v>
      </c>
      <c r="V121" s="3"/>
      <c r="W121" s="3">
        <v>229115</v>
      </c>
      <c r="X121" s="3"/>
      <c r="Y121" s="3">
        <v>0</v>
      </c>
      <c r="Z121" s="3"/>
      <c r="AA121" s="3">
        <v>50526</v>
      </c>
      <c r="AB121" s="3"/>
      <c r="AC121" s="3">
        <v>0</v>
      </c>
      <c r="AD121" s="3" t="s">
        <v>323</v>
      </c>
      <c r="AE121" s="3"/>
      <c r="AF121" s="3" t="s">
        <v>164</v>
      </c>
      <c r="AG121" s="3"/>
      <c r="AH121" s="3">
        <v>305555</v>
      </c>
      <c r="AI121" s="3"/>
      <c r="AJ121" s="3">
        <v>0</v>
      </c>
      <c r="AK121" s="3"/>
      <c r="AL121" s="3">
        <v>0</v>
      </c>
      <c r="AM121" s="3"/>
      <c r="AN121" s="3">
        <v>0</v>
      </c>
      <c r="AO121" s="3"/>
      <c r="AP121" s="3">
        <v>0</v>
      </c>
      <c r="AQ121" s="3"/>
      <c r="AR121" s="3">
        <v>0</v>
      </c>
      <c r="AS121" s="3"/>
      <c r="AT121" s="3">
        <v>0</v>
      </c>
      <c r="AU121" s="3"/>
      <c r="AV121" s="3">
        <v>0</v>
      </c>
      <c r="AW121" s="3"/>
      <c r="AX121" s="3">
        <v>0</v>
      </c>
      <c r="AY121" s="3"/>
      <c r="AZ121" s="3">
        <f t="shared" si="6"/>
        <v>3834060</v>
      </c>
      <c r="BA121" s="3"/>
      <c r="BB121" s="3">
        <v>0</v>
      </c>
      <c r="BC121" s="3"/>
      <c r="BD121" s="3">
        <v>0</v>
      </c>
      <c r="BE121" s="3" t="s">
        <v>323</v>
      </c>
      <c r="BF121" s="3"/>
      <c r="BG121" s="3" t="s">
        <v>164</v>
      </c>
      <c r="BH121" s="3"/>
      <c r="BI121" s="3">
        <v>0</v>
      </c>
      <c r="BJ121" s="3"/>
      <c r="BK121" s="3">
        <v>0</v>
      </c>
      <c r="BL121" s="3"/>
      <c r="BM121" s="3">
        <f t="shared" si="10"/>
        <v>3834060</v>
      </c>
      <c r="BN121" s="3"/>
      <c r="BO121" s="3">
        <f>GenRev!AS121-BM121</f>
        <v>-73138</v>
      </c>
      <c r="BP121" s="3"/>
      <c r="BQ121" s="3">
        <v>2616379</v>
      </c>
      <c r="BR121" s="3"/>
      <c r="BS121" s="3">
        <v>0</v>
      </c>
      <c r="BT121" s="3"/>
      <c r="BU121" s="3">
        <f>+BQ121+BO121-BS121</f>
        <v>2543241</v>
      </c>
      <c r="BV121" s="3"/>
      <c r="BW121" s="17">
        <f>+BU121-GenBS!AC121</f>
        <v>0</v>
      </c>
    </row>
    <row r="122" spans="1:75" s="16" customFormat="1" ht="12">
      <c r="A122" s="3" t="s">
        <v>351</v>
      </c>
      <c r="B122" s="3"/>
      <c r="C122" s="3" t="s">
        <v>221</v>
      </c>
      <c r="D122" s="3"/>
      <c r="E122" s="3">
        <v>49825</v>
      </c>
      <c r="F122" s="3"/>
      <c r="G122" s="3">
        <v>0</v>
      </c>
      <c r="H122" s="3"/>
      <c r="I122" s="3">
        <v>4470273</v>
      </c>
      <c r="J122" s="3"/>
      <c r="K122" s="3">
        <v>0</v>
      </c>
      <c r="L122" s="3"/>
      <c r="M122" s="3">
        <v>0</v>
      </c>
      <c r="N122" s="3"/>
      <c r="O122" s="3">
        <v>2865281</v>
      </c>
      <c r="P122" s="3"/>
      <c r="Q122" s="3">
        <v>4488784</v>
      </c>
      <c r="R122" s="3"/>
      <c r="S122" s="3">
        <v>25506</v>
      </c>
      <c r="T122" s="3"/>
      <c r="U122" s="3">
        <v>2988542</v>
      </c>
      <c r="V122" s="3"/>
      <c r="W122" s="3">
        <v>336460</v>
      </c>
      <c r="X122" s="3"/>
      <c r="Y122" s="3">
        <v>712925</v>
      </c>
      <c r="Z122" s="3"/>
      <c r="AA122" s="3">
        <v>209787</v>
      </c>
      <c r="AC122" s="3">
        <v>0</v>
      </c>
      <c r="AD122" s="16" t="s">
        <v>351</v>
      </c>
      <c r="AF122" s="16" t="s">
        <v>221</v>
      </c>
      <c r="AG122" s="3"/>
      <c r="AH122" s="3">
        <v>50044</v>
      </c>
      <c r="AI122" s="3"/>
      <c r="AJ122" s="3">
        <v>0</v>
      </c>
      <c r="AK122" s="3"/>
      <c r="AL122" s="3">
        <v>0</v>
      </c>
      <c r="AM122" s="3"/>
      <c r="AN122" s="3">
        <v>0</v>
      </c>
      <c r="AO122" s="3"/>
      <c r="AP122" s="3">
        <v>502</v>
      </c>
      <c r="AQ122" s="3"/>
      <c r="AR122" s="3">
        <v>0</v>
      </c>
      <c r="AS122" s="3"/>
      <c r="AT122" s="3">
        <v>0</v>
      </c>
      <c r="AU122" s="3"/>
      <c r="AV122" s="3">
        <v>0</v>
      </c>
      <c r="AW122" s="3"/>
      <c r="AX122" s="3">
        <v>0</v>
      </c>
      <c r="AY122" s="3"/>
      <c r="AZ122" s="3">
        <f t="shared" si="6"/>
        <v>16148104</v>
      </c>
      <c r="BA122" s="3"/>
      <c r="BB122" s="3">
        <v>0</v>
      </c>
      <c r="BC122" s="3"/>
      <c r="BD122" s="3">
        <v>0</v>
      </c>
      <c r="BE122" s="16" t="s">
        <v>351</v>
      </c>
      <c r="BG122" s="16" t="s">
        <v>221</v>
      </c>
      <c r="BH122" s="3"/>
      <c r="BI122" s="3">
        <v>0</v>
      </c>
      <c r="BJ122" s="3"/>
      <c r="BK122" s="3">
        <v>0</v>
      </c>
      <c r="BL122" s="3"/>
      <c r="BM122" s="3">
        <f t="shared" si="10"/>
        <v>16148104</v>
      </c>
      <c r="BN122" s="3"/>
      <c r="BO122" s="3">
        <f>GenRev!AS122-BM122</f>
        <v>-470282</v>
      </c>
      <c r="BP122" s="3"/>
      <c r="BQ122" s="3">
        <v>294425</v>
      </c>
      <c r="BR122" s="3"/>
      <c r="BS122" s="3">
        <v>0</v>
      </c>
      <c r="BT122" s="3"/>
      <c r="BU122" s="3">
        <f t="shared" si="7"/>
        <v>-175857</v>
      </c>
      <c r="BV122" s="3"/>
      <c r="BW122" s="17">
        <f>+BU122-GenBS!AC122</f>
        <v>0</v>
      </c>
    </row>
    <row r="123" spans="1:75" s="16" customFormat="1" ht="12">
      <c r="A123" s="3" t="s">
        <v>222</v>
      </c>
      <c r="B123" s="3"/>
      <c r="C123" s="3" t="s">
        <v>223</v>
      </c>
      <c r="D123" s="3"/>
      <c r="E123" s="3">
        <v>49965</v>
      </c>
      <c r="F123" s="3"/>
      <c r="G123" s="3">
        <v>745231</v>
      </c>
      <c r="H123" s="3"/>
      <c r="I123" s="3">
        <v>3650578</v>
      </c>
      <c r="J123" s="3"/>
      <c r="K123" s="3">
        <v>69782</v>
      </c>
      <c r="L123" s="3"/>
      <c r="M123" s="3">
        <v>0</v>
      </c>
      <c r="N123" s="3"/>
      <c r="O123" s="3">
        <v>2932484</v>
      </c>
      <c r="P123" s="3"/>
      <c r="Q123" s="3">
        <v>2187422</v>
      </c>
      <c r="R123" s="3"/>
      <c r="S123" s="3">
        <v>87926</v>
      </c>
      <c r="T123" s="3"/>
      <c r="U123" s="3">
        <v>704506</v>
      </c>
      <c r="V123" s="3"/>
      <c r="W123" s="3">
        <v>316045</v>
      </c>
      <c r="X123" s="3"/>
      <c r="Y123" s="3">
        <v>31755</v>
      </c>
      <c r="Z123" s="3"/>
      <c r="AA123" s="3">
        <v>174861</v>
      </c>
      <c r="AC123" s="3">
        <v>0</v>
      </c>
      <c r="AD123" s="16" t="s">
        <v>222</v>
      </c>
      <c r="AF123" s="16" t="s">
        <v>223</v>
      </c>
      <c r="AG123" s="3"/>
      <c r="AH123" s="3">
        <v>169611</v>
      </c>
      <c r="AI123" s="3"/>
      <c r="AJ123" s="3">
        <v>0</v>
      </c>
      <c r="AK123" s="3"/>
      <c r="AL123" s="3">
        <v>0</v>
      </c>
      <c r="AM123" s="3"/>
      <c r="AN123" s="3">
        <v>0</v>
      </c>
      <c r="AO123" s="3"/>
      <c r="AP123" s="3">
        <v>21631</v>
      </c>
      <c r="AQ123" s="3"/>
      <c r="AR123" s="3">
        <v>0</v>
      </c>
      <c r="AS123" s="3"/>
      <c r="AT123" s="3">
        <v>0</v>
      </c>
      <c r="AU123" s="3"/>
      <c r="AV123" s="3">
        <v>74994</v>
      </c>
      <c r="AW123" s="3"/>
      <c r="AX123" s="3">
        <v>46230</v>
      </c>
      <c r="AY123" s="3"/>
      <c r="AZ123" s="3">
        <f t="shared" si="6"/>
        <v>11213056</v>
      </c>
      <c r="BA123" s="3"/>
      <c r="BB123" s="3">
        <v>0</v>
      </c>
      <c r="BC123" s="3"/>
      <c r="BD123" s="3">
        <v>0</v>
      </c>
      <c r="BE123" s="16" t="s">
        <v>222</v>
      </c>
      <c r="BG123" s="16" t="s">
        <v>223</v>
      </c>
      <c r="BH123" s="3"/>
      <c r="BI123" s="3">
        <v>0</v>
      </c>
      <c r="BJ123" s="3"/>
      <c r="BK123" s="3">
        <v>0</v>
      </c>
      <c r="BL123" s="3"/>
      <c r="BM123" s="3">
        <f t="shared" si="10"/>
        <v>11213056</v>
      </c>
      <c r="BN123" s="3"/>
      <c r="BO123" s="3">
        <f>GenRev!AS123-BM123</f>
        <v>291788</v>
      </c>
      <c r="BP123" s="3"/>
      <c r="BQ123" s="3">
        <v>5137094</v>
      </c>
      <c r="BR123" s="3"/>
      <c r="BS123" s="3">
        <v>0</v>
      </c>
      <c r="BT123" s="3"/>
      <c r="BU123" s="3">
        <f t="shared" si="7"/>
        <v>5428882</v>
      </c>
      <c r="BV123" s="3"/>
      <c r="BW123" s="17">
        <f>+BU123-GenBS!AC123</f>
        <v>0</v>
      </c>
    </row>
    <row r="124" spans="1:75" s="16" customFormat="1" ht="12">
      <c r="A124" s="3" t="s">
        <v>233</v>
      </c>
      <c r="B124" s="3"/>
      <c r="C124" s="3" t="s">
        <v>234</v>
      </c>
      <c r="D124" s="3"/>
      <c r="E124" s="3">
        <v>50526</v>
      </c>
      <c r="F124" s="3"/>
      <c r="G124" s="3">
        <v>706438</v>
      </c>
      <c r="H124" s="3"/>
      <c r="I124" s="3">
        <v>1444264</v>
      </c>
      <c r="J124" s="3"/>
      <c r="K124" s="3">
        <v>0</v>
      </c>
      <c r="L124" s="3"/>
      <c r="M124" s="3">
        <v>60375</v>
      </c>
      <c r="N124" s="3"/>
      <c r="O124" s="3">
        <v>2577287</v>
      </c>
      <c r="P124" s="3"/>
      <c r="Q124" s="3">
        <v>2519306</v>
      </c>
      <c r="R124" s="3"/>
      <c r="S124" s="3">
        <v>51385</v>
      </c>
      <c r="T124" s="3"/>
      <c r="U124" s="3">
        <v>378258</v>
      </c>
      <c r="V124" s="3"/>
      <c r="W124" s="3">
        <v>331167</v>
      </c>
      <c r="X124" s="3"/>
      <c r="Y124" s="3">
        <v>168020</v>
      </c>
      <c r="Z124" s="3"/>
      <c r="AA124" s="3">
        <v>198825</v>
      </c>
      <c r="AC124" s="3">
        <v>27381</v>
      </c>
      <c r="AD124" s="16" t="s">
        <v>233</v>
      </c>
      <c r="AF124" s="16" t="s">
        <v>234</v>
      </c>
      <c r="AG124" s="3"/>
      <c r="AH124" s="3">
        <v>1498031</v>
      </c>
      <c r="AI124" s="3"/>
      <c r="AJ124" s="3">
        <v>0</v>
      </c>
      <c r="AK124" s="3"/>
      <c r="AL124" s="3">
        <v>0</v>
      </c>
      <c r="AM124" s="3"/>
      <c r="AN124" s="3">
        <v>3430293</v>
      </c>
      <c r="AO124" s="3"/>
      <c r="AP124" s="3">
        <v>0</v>
      </c>
      <c r="AQ124" s="3"/>
      <c r="AR124" s="3">
        <v>0</v>
      </c>
      <c r="AS124" s="3"/>
      <c r="AT124" s="3">
        <v>0</v>
      </c>
      <c r="AU124" s="3"/>
      <c r="AV124" s="3">
        <v>0</v>
      </c>
      <c r="AW124" s="3"/>
      <c r="AX124" s="3">
        <v>0</v>
      </c>
      <c r="AY124" s="3"/>
      <c r="AZ124" s="3">
        <f t="shared" si="6"/>
        <v>13391030</v>
      </c>
      <c r="BA124" s="3"/>
      <c r="BB124" s="3">
        <v>0</v>
      </c>
      <c r="BC124" s="3"/>
      <c r="BD124" s="3">
        <v>0</v>
      </c>
      <c r="BE124" s="16" t="s">
        <v>233</v>
      </c>
      <c r="BG124" s="16" t="s">
        <v>234</v>
      </c>
      <c r="BH124" s="3"/>
      <c r="BI124" s="3">
        <v>0</v>
      </c>
      <c r="BJ124" s="3"/>
      <c r="BK124" s="3">
        <v>0</v>
      </c>
      <c r="BL124" s="3"/>
      <c r="BM124" s="3">
        <f t="shared" si="10"/>
        <v>13391030</v>
      </c>
      <c r="BN124" s="3"/>
      <c r="BO124" s="3">
        <f>GenRev!AS124-BM124</f>
        <v>-265148</v>
      </c>
      <c r="BP124" s="3"/>
      <c r="BQ124" s="3">
        <v>1693473</v>
      </c>
      <c r="BR124" s="3"/>
      <c r="BS124" s="3">
        <v>0</v>
      </c>
      <c r="BT124" s="3"/>
      <c r="BU124" s="3">
        <f t="shared" si="7"/>
        <v>1428325</v>
      </c>
      <c r="BV124" s="3"/>
      <c r="BW124" s="17">
        <f>+BU124-GenBS!AC124</f>
        <v>0</v>
      </c>
    </row>
    <row r="125" spans="1:75" s="16" customFormat="1" ht="12">
      <c r="A125" s="3" t="s">
        <v>224</v>
      </c>
      <c r="B125" s="3"/>
      <c r="C125" s="3" t="s">
        <v>225</v>
      </c>
      <c r="D125" s="3"/>
      <c r="E125" s="3">
        <v>50088</v>
      </c>
      <c r="F125" s="3"/>
      <c r="G125" s="3">
        <v>320808</v>
      </c>
      <c r="H125" s="3"/>
      <c r="I125" s="3">
        <v>6069907</v>
      </c>
      <c r="J125" s="3"/>
      <c r="K125" s="3">
        <v>0</v>
      </c>
      <c r="L125" s="3"/>
      <c r="M125" s="3">
        <v>0</v>
      </c>
      <c r="N125" s="3"/>
      <c r="O125" s="3">
        <v>4249316</v>
      </c>
      <c r="P125" s="3"/>
      <c r="Q125" s="3">
        <v>1847381</v>
      </c>
      <c r="R125" s="3"/>
      <c r="S125" s="3">
        <v>104443</v>
      </c>
      <c r="T125" s="3"/>
      <c r="U125" s="3">
        <v>2687968</v>
      </c>
      <c r="V125" s="3"/>
      <c r="W125" s="3">
        <v>310227</v>
      </c>
      <c r="X125" s="3"/>
      <c r="Y125" s="3">
        <v>42966</v>
      </c>
      <c r="Z125" s="3"/>
      <c r="AA125" s="3">
        <v>191452</v>
      </c>
      <c r="AC125" s="3">
        <v>27738</v>
      </c>
      <c r="AD125" s="16" t="s">
        <v>224</v>
      </c>
      <c r="AF125" s="16" t="s">
        <v>225</v>
      </c>
      <c r="AG125" s="3"/>
      <c r="AH125" s="3">
        <v>40</v>
      </c>
      <c r="AI125" s="3"/>
      <c r="AJ125" s="3">
        <v>0</v>
      </c>
      <c r="AK125" s="3"/>
      <c r="AL125" s="3">
        <v>0</v>
      </c>
      <c r="AM125" s="3"/>
      <c r="AN125" s="3">
        <v>0</v>
      </c>
      <c r="AO125" s="3"/>
      <c r="AP125" s="3">
        <v>0</v>
      </c>
      <c r="AQ125" s="3"/>
      <c r="AR125" s="3">
        <v>11840</v>
      </c>
      <c r="AS125" s="3"/>
      <c r="AT125" s="3">
        <v>0</v>
      </c>
      <c r="AU125" s="3"/>
      <c r="AV125" s="3">
        <v>0</v>
      </c>
      <c r="AW125" s="3"/>
      <c r="AX125" s="3">
        <v>0</v>
      </c>
      <c r="AY125" s="3"/>
      <c r="AZ125" s="3">
        <f t="shared" si="6"/>
        <v>15864086</v>
      </c>
      <c r="BA125" s="3"/>
      <c r="BB125" s="3">
        <v>0</v>
      </c>
      <c r="BC125" s="3"/>
      <c r="BD125" s="3">
        <v>0</v>
      </c>
      <c r="BE125" s="16" t="s">
        <v>224</v>
      </c>
      <c r="BG125" s="16" t="s">
        <v>225</v>
      </c>
      <c r="BH125" s="3"/>
      <c r="BI125" s="3">
        <v>0</v>
      </c>
      <c r="BJ125" s="3"/>
      <c r="BK125" s="3">
        <v>0</v>
      </c>
      <c r="BL125" s="3"/>
      <c r="BM125" s="3">
        <f t="shared" si="10"/>
        <v>15864086</v>
      </c>
      <c r="BN125" s="3"/>
      <c r="BO125" s="3">
        <f>GenRev!AS125-BM125</f>
        <v>434532</v>
      </c>
      <c r="BP125" s="3"/>
      <c r="BQ125" s="3">
        <v>4173197</v>
      </c>
      <c r="BR125" s="3"/>
      <c r="BS125" s="3">
        <v>0</v>
      </c>
      <c r="BT125" s="3"/>
      <c r="BU125" s="3">
        <f t="shared" si="7"/>
        <v>4607729</v>
      </c>
      <c r="BV125" s="3"/>
      <c r="BW125" s="17">
        <f>+BU125-GenBS!AC125</f>
        <v>0</v>
      </c>
    </row>
    <row r="126" spans="1:75" s="16" customFormat="1" ht="12" hidden="1">
      <c r="A126" s="3" t="s">
        <v>385</v>
      </c>
      <c r="B126" s="3"/>
      <c r="C126" s="3" t="s">
        <v>227</v>
      </c>
      <c r="D126" s="3"/>
      <c r="E126" s="3">
        <v>50260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C126" s="3"/>
      <c r="AD126" s="16" t="s">
        <v>226</v>
      </c>
      <c r="AF126" s="16" t="s">
        <v>227</v>
      </c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16" t="s">
        <v>226</v>
      </c>
      <c r="BG126" s="16" t="s">
        <v>227</v>
      </c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17"/>
    </row>
    <row r="127" spans="1:75" s="16" customFormat="1" ht="12" hidden="1">
      <c r="A127" s="3" t="s">
        <v>352</v>
      </c>
      <c r="B127" s="3"/>
      <c r="C127" s="3" t="s">
        <v>231</v>
      </c>
      <c r="D127" s="3"/>
      <c r="E127" s="3">
        <v>50401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C127" s="3"/>
      <c r="AD127" s="16" t="s">
        <v>352</v>
      </c>
      <c r="AF127" s="16" t="s">
        <v>231</v>
      </c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>
        <f t="shared" si="6"/>
        <v>0</v>
      </c>
      <c r="BA127" s="3"/>
      <c r="BB127" s="3"/>
      <c r="BC127" s="3"/>
      <c r="BD127" s="3"/>
      <c r="BE127" s="16" t="s">
        <v>352</v>
      </c>
      <c r="BG127" s="16" t="s">
        <v>231</v>
      </c>
      <c r="BH127" s="3"/>
      <c r="BI127" s="3"/>
      <c r="BJ127" s="3"/>
      <c r="BK127" s="3"/>
      <c r="BL127" s="3"/>
      <c r="BM127" s="3">
        <f>+BD127+BI127+BB127+AZ127</f>
        <v>0</v>
      </c>
      <c r="BN127" s="3"/>
      <c r="BO127" s="3">
        <f>GenRev!AS127-BM127</f>
        <v>0</v>
      </c>
      <c r="BP127" s="3"/>
      <c r="BQ127" s="3"/>
      <c r="BR127" s="3"/>
      <c r="BS127" s="3"/>
      <c r="BT127" s="3"/>
      <c r="BU127" s="3">
        <f t="shared" si="7"/>
        <v>0</v>
      </c>
      <c r="BV127" s="3"/>
      <c r="BW127" s="17">
        <f>+BU127-GenBS!AC127</f>
        <v>0</v>
      </c>
    </row>
    <row r="128" spans="1:75" s="16" customFormat="1" ht="12" hidden="1">
      <c r="A128" s="3" t="s">
        <v>387</v>
      </c>
      <c r="B128" s="3"/>
      <c r="C128" s="3" t="s">
        <v>232</v>
      </c>
      <c r="D128" s="3"/>
      <c r="E128" s="3">
        <v>50476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C128" s="3"/>
      <c r="AD128" s="3" t="s">
        <v>387</v>
      </c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B128" s="3"/>
      <c r="BC128" s="3"/>
      <c r="BD128" s="3"/>
      <c r="BE128" s="3" t="s">
        <v>387</v>
      </c>
      <c r="BH128" s="3"/>
      <c r="BI128" s="3"/>
      <c r="BJ128" s="3"/>
      <c r="BK128" s="3"/>
      <c r="BL128" s="3"/>
      <c r="BM128" s="3"/>
      <c r="BN128" s="3"/>
      <c r="BO128" s="3">
        <f>GenRev!AS128-BM128</f>
        <v>0</v>
      </c>
      <c r="BP128" s="3"/>
      <c r="BQ128" s="3"/>
      <c r="BR128" s="3"/>
      <c r="BS128" s="3"/>
      <c r="BT128" s="3"/>
      <c r="BU128" s="3">
        <f t="shared" si="7"/>
        <v>0</v>
      </c>
      <c r="BV128" s="3"/>
      <c r="BW128" s="17">
        <f>+BU128-GenBS!AC128</f>
        <v>0</v>
      </c>
    </row>
    <row r="129" spans="1:75" s="16" customFormat="1" ht="12">
      <c r="A129" s="3" t="s">
        <v>228</v>
      </c>
      <c r="B129" s="3"/>
      <c r="C129" s="3" t="s">
        <v>317</v>
      </c>
      <c r="D129" s="3"/>
      <c r="E129" s="3">
        <v>134999</v>
      </c>
      <c r="F129" s="3"/>
      <c r="G129" s="3">
        <v>236710</v>
      </c>
      <c r="H129" s="3"/>
      <c r="I129" s="3">
        <v>1837786</v>
      </c>
      <c r="J129" s="3"/>
      <c r="K129" s="3">
        <v>0</v>
      </c>
      <c r="L129" s="3"/>
      <c r="M129" s="3">
        <v>0</v>
      </c>
      <c r="N129" s="3"/>
      <c r="O129" s="3">
        <v>1149455</v>
      </c>
      <c r="P129" s="3"/>
      <c r="Q129" s="3">
        <v>468657</v>
      </c>
      <c r="R129" s="3"/>
      <c r="S129" s="3">
        <v>53535</v>
      </c>
      <c r="T129" s="3"/>
      <c r="U129" s="3">
        <v>406928</v>
      </c>
      <c r="V129" s="3"/>
      <c r="W129" s="3">
        <v>92525</v>
      </c>
      <c r="X129" s="3"/>
      <c r="Y129" s="3">
        <v>0</v>
      </c>
      <c r="Z129" s="3"/>
      <c r="AA129" s="3">
        <v>11160</v>
      </c>
      <c r="AC129" s="3">
        <v>0</v>
      </c>
      <c r="AD129" s="16" t="s">
        <v>228</v>
      </c>
      <c r="AF129" s="16" t="s">
        <v>317</v>
      </c>
      <c r="AG129" s="3"/>
      <c r="AH129" s="3">
        <v>4003</v>
      </c>
      <c r="AI129" s="3"/>
      <c r="AJ129" s="3">
        <v>0</v>
      </c>
      <c r="AK129" s="3"/>
      <c r="AL129" s="3">
        <v>0</v>
      </c>
      <c r="AM129" s="3"/>
      <c r="AN129" s="3">
        <v>75</v>
      </c>
      <c r="AO129" s="3"/>
      <c r="AP129" s="3">
        <v>0</v>
      </c>
      <c r="AQ129" s="3"/>
      <c r="AR129" s="3">
        <v>0</v>
      </c>
      <c r="AS129" s="3"/>
      <c r="AT129" s="3">
        <v>0</v>
      </c>
      <c r="AU129" s="3"/>
      <c r="AV129" s="3">
        <v>0</v>
      </c>
      <c r="AW129" s="3"/>
      <c r="AX129" s="3">
        <v>0</v>
      </c>
      <c r="AY129" s="3"/>
      <c r="AZ129" s="3">
        <f>SUM(G129:AY129)</f>
        <v>4260834</v>
      </c>
      <c r="BA129" s="3"/>
      <c r="BB129" s="3">
        <v>0</v>
      </c>
      <c r="BC129" s="3"/>
      <c r="BD129" s="3">
        <v>0</v>
      </c>
      <c r="BE129" s="16" t="s">
        <v>228</v>
      </c>
      <c r="BG129" s="16" t="s">
        <v>317</v>
      </c>
      <c r="BH129" s="3"/>
      <c r="BI129" s="3">
        <v>0</v>
      </c>
      <c r="BJ129" s="3"/>
      <c r="BK129" s="3">
        <v>0</v>
      </c>
      <c r="BL129" s="3"/>
      <c r="BM129" s="3">
        <f>+BD129+BI129+BB129+AZ129</f>
        <v>4260834</v>
      </c>
      <c r="BN129" s="3"/>
      <c r="BO129" s="3">
        <f>GenRev!AS129-BM129</f>
        <v>-100954</v>
      </c>
      <c r="BP129" s="3"/>
      <c r="BQ129" s="3">
        <v>544467</v>
      </c>
      <c r="BR129" s="3"/>
      <c r="BS129" s="3">
        <v>0</v>
      </c>
      <c r="BT129" s="3"/>
      <c r="BU129" s="3">
        <f t="shared" si="7"/>
        <v>443513</v>
      </c>
      <c r="BV129" s="3"/>
      <c r="BW129" s="17">
        <f>+BU129-GenBS!AC129</f>
        <v>0</v>
      </c>
    </row>
    <row r="130" spans="1:75" s="16" customFormat="1" ht="12">
      <c r="A130" s="3" t="s">
        <v>235</v>
      </c>
      <c r="B130" s="3"/>
      <c r="C130" s="3" t="s">
        <v>236</v>
      </c>
      <c r="D130" s="3"/>
      <c r="E130" s="3">
        <v>50666</v>
      </c>
      <c r="F130" s="3"/>
      <c r="G130" s="3">
        <v>832423</v>
      </c>
      <c r="H130" s="3"/>
      <c r="I130" s="3">
        <v>5354632</v>
      </c>
      <c r="J130" s="3"/>
      <c r="K130" s="3">
        <v>1039</v>
      </c>
      <c r="L130" s="3"/>
      <c r="M130" s="3">
        <v>0</v>
      </c>
      <c r="N130" s="3"/>
      <c r="O130" s="3">
        <v>2157777</v>
      </c>
      <c r="P130" s="3"/>
      <c r="Q130" s="3">
        <v>3402115</v>
      </c>
      <c r="R130" s="3"/>
      <c r="S130" s="3">
        <v>42138</v>
      </c>
      <c r="T130" s="3"/>
      <c r="U130" s="3">
        <v>1121419</v>
      </c>
      <c r="V130" s="3"/>
      <c r="W130" s="3">
        <v>519574</v>
      </c>
      <c r="X130" s="3"/>
      <c r="Y130" s="3">
        <v>0</v>
      </c>
      <c r="Z130" s="3"/>
      <c r="AA130" s="3">
        <v>97117</v>
      </c>
      <c r="AC130" s="3">
        <v>53666</v>
      </c>
      <c r="AD130" s="16" t="s">
        <v>235</v>
      </c>
      <c r="AF130" s="16" t="s">
        <v>236</v>
      </c>
      <c r="AG130" s="3"/>
      <c r="AH130" s="3">
        <v>168601</v>
      </c>
      <c r="AI130" s="3"/>
      <c r="AJ130" s="3">
        <v>0</v>
      </c>
      <c r="AK130" s="3"/>
      <c r="AL130" s="3">
        <v>0</v>
      </c>
      <c r="AM130" s="3"/>
      <c r="AN130" s="3">
        <v>21431</v>
      </c>
      <c r="AO130" s="3"/>
      <c r="AP130" s="3">
        <v>0</v>
      </c>
      <c r="AQ130" s="3"/>
      <c r="AR130" s="3">
        <v>0</v>
      </c>
      <c r="AS130" s="3"/>
      <c r="AT130" s="3">
        <v>0</v>
      </c>
      <c r="AU130" s="3"/>
      <c r="AV130" s="3">
        <v>0</v>
      </c>
      <c r="AW130" s="3"/>
      <c r="AX130" s="3">
        <v>0</v>
      </c>
      <c r="AY130" s="3"/>
      <c r="AZ130" s="3">
        <f t="shared" si="6"/>
        <v>13771932</v>
      </c>
      <c r="BA130" s="3"/>
      <c r="BB130" s="3">
        <v>0</v>
      </c>
      <c r="BC130" s="3"/>
      <c r="BD130" s="3">
        <v>0</v>
      </c>
      <c r="BE130" s="16" t="s">
        <v>235</v>
      </c>
      <c r="BG130" s="16" t="s">
        <v>236</v>
      </c>
      <c r="BH130" s="3"/>
      <c r="BI130" s="3">
        <v>0</v>
      </c>
      <c r="BJ130" s="3"/>
      <c r="BK130" s="3">
        <v>0</v>
      </c>
      <c r="BL130" s="3"/>
      <c r="BM130" s="3">
        <f>+BD130+BI130+BB130+AZ130</f>
        <v>13771932</v>
      </c>
      <c r="BN130" s="3"/>
      <c r="BO130" s="3">
        <f>GenRev!AS130-BM130</f>
        <v>19868</v>
      </c>
      <c r="BP130" s="3"/>
      <c r="BQ130" s="3">
        <v>3142814</v>
      </c>
      <c r="BR130" s="3"/>
      <c r="BS130" s="3">
        <v>0</v>
      </c>
      <c r="BT130" s="3"/>
      <c r="BU130" s="3">
        <f t="shared" si="7"/>
        <v>3162682</v>
      </c>
      <c r="BV130" s="3"/>
      <c r="BW130" s="17">
        <f>+BU130-GenBS!AC130</f>
        <v>0</v>
      </c>
    </row>
    <row r="131" spans="1:75" s="16" customFormat="1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C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B131" s="3"/>
      <c r="BC131" s="3"/>
      <c r="BD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</row>
    <row r="132" spans="1: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C132" s="17" t="s">
        <v>310</v>
      </c>
      <c r="AG132" s="21"/>
      <c r="AH132" s="21"/>
      <c r="AI132" s="21"/>
      <c r="AJ132" s="21"/>
      <c r="AK132" s="21"/>
      <c r="AM132" s="21"/>
      <c r="AN132" s="17" t="s">
        <v>310</v>
      </c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BB132" s="21"/>
      <c r="BC132" s="21"/>
      <c r="BD132" s="17" t="s">
        <v>310</v>
      </c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</row>
    <row r="133" spans="1: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C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B133" s="21"/>
      <c r="BC133" s="21"/>
      <c r="BD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</row>
    <row r="134" spans="1: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C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B134" s="21"/>
      <c r="BC134" s="21"/>
      <c r="BD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</row>
    <row r="135" spans="1: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C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B135" s="21"/>
      <c r="BC135" s="21"/>
      <c r="BD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</row>
    <row r="136" spans="1:75">
      <c r="A136" s="21"/>
      <c r="B136" s="21"/>
      <c r="C136" s="21"/>
      <c r="D136" s="21"/>
      <c r="E136" s="21"/>
      <c r="F136" s="2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16"/>
      <c r="AC136" s="3"/>
      <c r="AD136" s="16"/>
      <c r="AE136" s="16"/>
      <c r="AF136" s="16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>
        <f>SUM(B136:AY136)</f>
        <v>0</v>
      </c>
      <c r="BA136" s="3"/>
      <c r="BB136" s="3"/>
      <c r="BC136" s="3"/>
      <c r="BD136" s="3"/>
      <c r="BE136" s="16"/>
      <c r="BF136" s="16"/>
      <c r="BG136" s="16"/>
      <c r="BH136" s="3"/>
      <c r="BI136" s="3">
        <v>0</v>
      </c>
      <c r="BJ136" s="3"/>
      <c r="BK136" s="3">
        <v>0</v>
      </c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21"/>
      <c r="BW136" s="21"/>
    </row>
    <row r="137" spans="1: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C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B137" s="21"/>
      <c r="BC137" s="21"/>
      <c r="BD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</row>
    <row r="138" spans="1: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C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B138" s="21"/>
      <c r="BC138" s="21"/>
      <c r="BD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</row>
    <row r="139" spans="1: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C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B139" s="21"/>
      <c r="BC139" s="21"/>
      <c r="BD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</row>
    <row r="140" spans="1: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BB140" s="21"/>
      <c r="BC140" s="21"/>
      <c r="BD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</row>
  </sheetData>
  <mergeCells count="4">
    <mergeCell ref="A66:K66"/>
    <mergeCell ref="O7:AC7"/>
    <mergeCell ref="AH7:AJ7"/>
    <mergeCell ref="AL7:AN7"/>
  </mergeCells>
  <phoneticPr fontId="3" type="noConversion"/>
  <pageMargins left="0.9" right="0.75" top="0.5" bottom="0.5" header="0.25" footer="0.25"/>
  <pageSetup scale="80" firstPageNumber="34" pageOrder="overThenDown" orientation="portrait" useFirstPageNumber="1" r:id="rId1"/>
  <headerFooter scaleWithDoc="0" alignWithMargins="0">
    <oddFooter>&amp;C&amp;"Times New Roman,Regular"&amp;12&amp;P</oddFooter>
  </headerFooter>
  <rowBreaks count="1" manualBreakCount="1">
    <brk id="66" max="72" man="1"/>
  </rowBreaks>
  <colBreaks count="5" manualBreakCount="5">
    <brk id="13" max="1048575" man="1"/>
    <brk id="29" max="1048575" man="1"/>
    <brk id="41" max="131" man="1"/>
    <brk id="56" max="1048575" man="1"/>
    <brk id="71" max="1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J139"/>
  <sheetViews>
    <sheetView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0" sqref="A10"/>
      <selection pane="bottomRight" activeCell="G12" sqref="G12"/>
    </sheetView>
  </sheetViews>
  <sheetFormatPr defaultRowHeight="12.75"/>
  <cols>
    <col min="1" max="1" width="40.7109375" style="18" customWidth="1"/>
    <col min="2" max="2" width="1.7109375" style="18" customWidth="1"/>
    <col min="3" max="3" width="8.7109375" style="18" customWidth="1"/>
    <col min="4" max="4" width="1.7109375" style="18" hidden="1" customWidth="1"/>
    <col min="5" max="5" width="11.7109375" style="18" hidden="1" customWidth="1"/>
    <col min="6" max="6" width="1.7109375" style="18" customWidth="1"/>
    <col min="7" max="7" width="11.7109375" style="18" customWidth="1"/>
    <col min="8" max="8" width="1.7109375" style="18" customWidth="1"/>
    <col min="9" max="9" width="10.85546875" style="18" customWidth="1"/>
    <col min="10" max="10" width="1.7109375" style="18" customWidth="1"/>
    <col min="11" max="11" width="11.7109375" style="18" customWidth="1"/>
    <col min="12" max="12" width="1.7109375" style="18" customWidth="1"/>
    <col min="13" max="13" width="11.7109375" style="18" customWidth="1"/>
    <col min="14" max="14" width="1.7109375" style="18" customWidth="1"/>
    <col min="15" max="15" width="11.7109375" style="18" customWidth="1"/>
    <col min="16" max="16" width="1.7109375" style="18" customWidth="1"/>
    <col min="17" max="17" width="11.7109375" style="18" customWidth="1"/>
    <col min="18" max="18" width="1.7109375" style="18" customWidth="1"/>
    <col min="19" max="19" width="11.7109375" style="18" customWidth="1"/>
    <col min="20" max="20" width="1.7109375" style="18" hidden="1" customWidth="1"/>
    <col min="21" max="21" width="11.7109375" style="18" hidden="1" customWidth="1"/>
    <col min="22" max="22" width="1.7109375" style="18" customWidth="1"/>
    <col min="23" max="23" width="11.7109375" style="18" customWidth="1"/>
    <col min="24" max="24" width="1.7109375" style="18" customWidth="1"/>
    <col min="25" max="25" width="11.7109375" style="18" customWidth="1"/>
    <col min="26" max="26" width="1.7109375" style="18" customWidth="1"/>
    <col min="27" max="27" width="11.7109375" style="18" customWidth="1"/>
    <col min="28" max="28" width="1.7109375" style="18" customWidth="1"/>
    <col min="29" max="29" width="11.7109375" style="18" customWidth="1"/>
    <col min="30" max="30" width="1.7109375" style="18" customWidth="1"/>
    <col min="31" max="31" width="11.7109375" style="18" customWidth="1"/>
    <col min="32" max="32" width="1.7109375" style="18" customWidth="1"/>
    <col min="33" max="16384" width="9.140625" style="18"/>
  </cols>
  <sheetData>
    <row r="1" spans="1:34" s="3" customFormat="1" ht="12">
      <c r="A1" s="4" t="s">
        <v>131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4" s="3" customFormat="1" ht="12">
      <c r="A2" s="4" t="s">
        <v>357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4" s="3" customFormat="1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4" s="3" customFormat="1" ht="12">
      <c r="A4" s="19" t="s">
        <v>316</v>
      </c>
      <c r="B4" s="7"/>
      <c r="C4" s="7"/>
      <c r="D4" s="7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34" s="3" customFormat="1" ht="12">
      <c r="A5" s="6"/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34" s="3" customFormat="1" ht="12">
      <c r="A6" s="6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34" s="3" customFormat="1" ht="12">
      <c r="A7" s="6"/>
      <c r="B7" s="7"/>
      <c r="C7" s="7"/>
      <c r="D7" s="7"/>
      <c r="E7" s="7"/>
      <c r="F7" s="1"/>
      <c r="G7" s="73" t="s">
        <v>2</v>
      </c>
      <c r="H7" s="73"/>
      <c r="I7" s="73"/>
      <c r="J7" s="73"/>
      <c r="K7" s="73"/>
      <c r="L7" s="1"/>
      <c r="M7" s="1"/>
      <c r="N7" s="1"/>
      <c r="O7" s="73" t="s">
        <v>15</v>
      </c>
      <c r="P7" s="73"/>
      <c r="Q7" s="73"/>
      <c r="R7" s="1"/>
      <c r="S7" s="1"/>
      <c r="T7" s="1"/>
      <c r="U7" s="1"/>
      <c r="V7" s="1"/>
      <c r="W7" s="73" t="s">
        <v>395</v>
      </c>
      <c r="X7" s="73"/>
      <c r="Y7" s="73"/>
      <c r="Z7" s="73"/>
      <c r="AA7" s="73"/>
    </row>
    <row r="8" spans="1:34" s="11" customFormat="1" ht="12">
      <c r="A8" s="20"/>
      <c r="B8" s="45"/>
      <c r="C8" s="45"/>
      <c r="D8" s="45"/>
      <c r="E8" s="4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38</v>
      </c>
      <c r="V8" s="2"/>
      <c r="W8" s="2"/>
      <c r="X8" s="2"/>
      <c r="Y8" s="2" t="s">
        <v>284</v>
      </c>
      <c r="Z8" s="2"/>
      <c r="AA8" s="2" t="s">
        <v>284</v>
      </c>
      <c r="AB8" s="2"/>
      <c r="AC8" s="2" t="s">
        <v>8</v>
      </c>
      <c r="AE8" s="11" t="s">
        <v>4</v>
      </c>
    </row>
    <row r="9" spans="1:34" s="11" customFormat="1" ht="12">
      <c r="A9" s="2"/>
      <c r="B9" s="2"/>
      <c r="C9" s="2"/>
      <c r="D9" s="2"/>
      <c r="E9" s="2"/>
      <c r="F9" s="2"/>
      <c r="G9" s="2" t="s">
        <v>95</v>
      </c>
      <c r="H9" s="2"/>
      <c r="I9" s="2" t="s">
        <v>18</v>
      </c>
      <c r="J9" s="2"/>
      <c r="K9" s="2" t="s">
        <v>87</v>
      </c>
      <c r="L9" s="2"/>
      <c r="M9" s="2" t="s">
        <v>8</v>
      </c>
      <c r="N9" s="2"/>
      <c r="O9" s="2"/>
      <c r="P9" s="2"/>
      <c r="Q9" s="2" t="s">
        <v>7</v>
      </c>
      <c r="R9" s="2"/>
      <c r="S9" s="2" t="s">
        <v>8</v>
      </c>
      <c r="T9" s="2"/>
      <c r="U9" s="2" t="s">
        <v>273</v>
      </c>
      <c r="V9" s="2"/>
      <c r="W9" s="2" t="s">
        <v>96</v>
      </c>
      <c r="X9" s="2"/>
      <c r="Y9" s="2" t="s">
        <v>281</v>
      </c>
      <c r="Z9" s="2"/>
      <c r="AA9" s="2" t="s">
        <v>311</v>
      </c>
      <c r="AB9" s="2"/>
      <c r="AC9" s="2" t="s">
        <v>97</v>
      </c>
      <c r="AE9" s="11" t="s">
        <v>98</v>
      </c>
    </row>
    <row r="10" spans="1:34" s="2" customFormat="1" ht="12">
      <c r="A10" s="72" t="s">
        <v>354</v>
      </c>
      <c r="B10" s="11"/>
      <c r="C10" s="72" t="s">
        <v>12</v>
      </c>
      <c r="D10" s="11"/>
      <c r="E10" s="72" t="s">
        <v>13</v>
      </c>
      <c r="G10" s="72" t="s">
        <v>14</v>
      </c>
      <c r="I10" s="72" t="s">
        <v>2</v>
      </c>
      <c r="K10" s="72" t="s">
        <v>2</v>
      </c>
      <c r="M10" s="72" t="s">
        <v>2</v>
      </c>
      <c r="O10" s="72" t="s">
        <v>15</v>
      </c>
      <c r="Q10" s="72" t="s">
        <v>99</v>
      </c>
      <c r="S10" s="72" t="s">
        <v>15</v>
      </c>
      <c r="U10" s="72" t="s">
        <v>275</v>
      </c>
      <c r="W10" s="72" t="s">
        <v>100</v>
      </c>
      <c r="Y10" s="72" t="s">
        <v>100</v>
      </c>
      <c r="AA10" s="72" t="s">
        <v>100</v>
      </c>
      <c r="AC10" s="72" t="s">
        <v>122</v>
      </c>
      <c r="AE10" s="72" t="s">
        <v>20</v>
      </c>
    </row>
    <row r="11" spans="1:34" s="2" customFormat="1" ht="12">
      <c r="B11" s="11"/>
      <c r="D11" s="11"/>
    </row>
    <row r="12" spans="1:34">
      <c r="A12" s="39" t="s">
        <v>308</v>
      </c>
    </row>
    <row r="13" spans="1:34">
      <c r="A13" s="39"/>
    </row>
    <row r="14" spans="1:34">
      <c r="A14" s="3" t="s">
        <v>359</v>
      </c>
      <c r="B14" s="3"/>
      <c r="C14" s="3" t="s">
        <v>321</v>
      </c>
      <c r="G14" s="34">
        <v>6738955</v>
      </c>
      <c r="H14" s="34"/>
      <c r="I14" s="34">
        <v>0</v>
      </c>
      <c r="J14" s="34"/>
      <c r="K14" s="15">
        <f>+M14-I14-G14</f>
        <v>4530112</v>
      </c>
      <c r="L14" s="34"/>
      <c r="M14" s="34">
        <v>11269067</v>
      </c>
      <c r="N14" s="34"/>
      <c r="O14" s="15">
        <f>+S14-Q14</f>
        <v>1624752</v>
      </c>
      <c r="P14" s="34"/>
      <c r="Q14" s="34">
        <v>4075472</v>
      </c>
      <c r="R14" s="34"/>
      <c r="S14" s="34">
        <v>5700224</v>
      </c>
      <c r="T14" s="34"/>
      <c r="U14" s="34">
        <v>0</v>
      </c>
      <c r="V14" s="34"/>
      <c r="W14" s="34">
        <f>287589+968813</f>
        <v>1256402</v>
      </c>
      <c r="X14" s="34"/>
      <c r="Y14" s="34">
        <v>184613</v>
      </c>
      <c r="Z14" s="34"/>
      <c r="AA14" s="34">
        <f>2967179+431245+729404</f>
        <v>4127828</v>
      </c>
      <c r="AB14" s="34"/>
      <c r="AC14" s="54">
        <f t="shared" ref="AC14:AC45" si="0">+AA14+Y14+U14+W14</f>
        <v>5568843</v>
      </c>
      <c r="AD14" s="34"/>
      <c r="AE14" s="3">
        <f t="shared" ref="AE14:AE45" si="1">+G14+I14+K14-O14-Q14-AA14-Y14-U14-W14</f>
        <v>0</v>
      </c>
      <c r="AF14" s="34"/>
      <c r="AG14" s="34"/>
      <c r="AH14" s="34"/>
    </row>
    <row r="15" spans="1:34" s="16" customFormat="1" ht="12">
      <c r="A15" s="3" t="s">
        <v>286</v>
      </c>
      <c r="C15" s="16" t="s">
        <v>151</v>
      </c>
      <c r="E15" s="16">
        <v>62042</v>
      </c>
      <c r="G15" s="3">
        <v>5125162</v>
      </c>
      <c r="H15" s="3"/>
      <c r="I15" s="3">
        <v>0</v>
      </c>
      <c r="J15" s="3"/>
      <c r="K15" s="8">
        <f>+M15-I15-G15</f>
        <v>3036063</v>
      </c>
      <c r="L15" s="3"/>
      <c r="M15" s="3">
        <v>8161225</v>
      </c>
      <c r="N15" s="3"/>
      <c r="O15" s="8">
        <f t="shared" ref="O15:O80" si="2">+S15-Q15</f>
        <v>690025</v>
      </c>
      <c r="P15" s="3"/>
      <c r="Q15" s="3">
        <v>2242898</v>
      </c>
      <c r="R15" s="3"/>
      <c r="S15" s="3">
        <v>2932923</v>
      </c>
      <c r="T15" s="3"/>
      <c r="U15" s="3"/>
      <c r="V15" s="3"/>
      <c r="W15" s="3">
        <f>292899+619608+85318</f>
        <v>997825</v>
      </c>
      <c r="X15" s="3"/>
      <c r="Y15" s="3">
        <v>72189</v>
      </c>
      <c r="Z15" s="3"/>
      <c r="AA15" s="3">
        <f>3313770+632344+212174</f>
        <v>4158288</v>
      </c>
      <c r="AB15" s="3"/>
      <c r="AC15" s="22">
        <f t="shared" si="0"/>
        <v>5228302</v>
      </c>
      <c r="AD15" s="3"/>
      <c r="AE15" s="3">
        <f t="shared" si="1"/>
        <v>0</v>
      </c>
    </row>
    <row r="16" spans="1:34" s="16" customFormat="1" ht="12">
      <c r="A16" s="3" t="s">
        <v>237</v>
      </c>
      <c r="C16" s="16" t="s">
        <v>152</v>
      </c>
      <c r="E16" s="16">
        <v>50815</v>
      </c>
      <c r="G16" s="3">
        <v>11466001</v>
      </c>
      <c r="H16" s="3"/>
      <c r="I16" s="3">
        <v>4933</v>
      </c>
      <c r="J16" s="3"/>
      <c r="K16" s="8">
        <f>+M16-I16-G16</f>
        <v>5730917</v>
      </c>
      <c r="L16" s="3"/>
      <c r="M16" s="3">
        <v>17201851</v>
      </c>
      <c r="N16" s="3"/>
      <c r="O16" s="8">
        <f t="shared" si="2"/>
        <v>1671760</v>
      </c>
      <c r="P16" s="3"/>
      <c r="Q16" s="3">
        <v>3303536</v>
      </c>
      <c r="R16" s="3"/>
      <c r="S16" s="3">
        <v>4975296</v>
      </c>
      <c r="T16" s="3"/>
      <c r="U16" s="3"/>
      <c r="V16" s="3"/>
      <c r="W16" s="3">
        <f>436472+1627657+4933</f>
        <v>2069062</v>
      </c>
      <c r="X16" s="3"/>
      <c r="Y16" s="3">
        <v>0</v>
      </c>
      <c r="Z16" s="3"/>
      <c r="AA16" s="3">
        <f>4626347+605394+4925752</f>
        <v>10157493</v>
      </c>
      <c r="AB16" s="3"/>
      <c r="AC16" s="22">
        <f t="shared" si="0"/>
        <v>12226555</v>
      </c>
      <c r="AD16" s="3"/>
      <c r="AE16" s="3">
        <f t="shared" si="1"/>
        <v>0</v>
      </c>
    </row>
    <row r="17" spans="1:31" s="16" customFormat="1" ht="12">
      <c r="A17" s="3" t="s">
        <v>360</v>
      </c>
      <c r="C17" s="16" t="s">
        <v>154</v>
      </c>
      <c r="E17" s="16">
        <v>51169</v>
      </c>
      <c r="G17" s="3">
        <f>6188431+260898</f>
        <v>6449329</v>
      </c>
      <c r="H17" s="3"/>
      <c r="I17" s="3">
        <v>0</v>
      </c>
      <c r="J17" s="3"/>
      <c r="K17" s="8">
        <f t="shared" ref="K17:K64" si="3">+M17-I17-G17</f>
        <v>6992268</v>
      </c>
      <c r="L17" s="3"/>
      <c r="M17" s="3">
        <v>13441597</v>
      </c>
      <c r="N17" s="3"/>
      <c r="O17" s="8">
        <f t="shared" si="2"/>
        <v>908170</v>
      </c>
      <c r="P17" s="3"/>
      <c r="Q17" s="3">
        <v>5624636</v>
      </c>
      <c r="R17" s="3"/>
      <c r="S17" s="3">
        <v>6532806</v>
      </c>
      <c r="T17" s="3"/>
      <c r="U17" s="3"/>
      <c r="V17" s="3"/>
      <c r="W17" s="3">
        <f>23382+660057+100000</f>
        <v>783439</v>
      </c>
      <c r="X17" s="3"/>
      <c r="Y17" s="3">
        <v>0</v>
      </c>
      <c r="Z17" s="3"/>
      <c r="AA17" s="3">
        <f>6057069+66806+1477</f>
        <v>6125352</v>
      </c>
      <c r="AB17" s="3"/>
      <c r="AC17" s="22">
        <f t="shared" si="0"/>
        <v>6908791</v>
      </c>
      <c r="AD17" s="3"/>
      <c r="AE17" s="3">
        <f t="shared" si="1"/>
        <v>0</v>
      </c>
    </row>
    <row r="18" spans="1:31" s="16" customFormat="1" ht="12">
      <c r="A18" s="3" t="s">
        <v>361</v>
      </c>
      <c r="C18" s="16" t="s">
        <v>157</v>
      </c>
      <c r="E18" s="16">
        <v>50856</v>
      </c>
      <c r="G18" s="3">
        <v>649721</v>
      </c>
      <c r="H18" s="3"/>
      <c r="I18" s="3">
        <v>33817</v>
      </c>
      <c r="J18" s="3"/>
      <c r="K18" s="8">
        <f t="shared" si="3"/>
        <v>1715585</v>
      </c>
      <c r="L18" s="3"/>
      <c r="M18" s="3">
        <v>2399123</v>
      </c>
      <c r="N18" s="3"/>
      <c r="O18" s="8">
        <f t="shared" si="2"/>
        <v>791736</v>
      </c>
      <c r="P18" s="3"/>
      <c r="Q18" s="3">
        <v>1513839</v>
      </c>
      <c r="R18" s="3"/>
      <c r="S18" s="3">
        <v>2305575</v>
      </c>
      <c r="T18" s="3"/>
      <c r="U18" s="3"/>
      <c r="V18" s="3"/>
      <c r="W18" s="3">
        <f>173719+106676+22817+11000</f>
        <v>314212</v>
      </c>
      <c r="X18" s="3"/>
      <c r="Y18" s="3">
        <v>0</v>
      </c>
      <c r="Z18" s="3"/>
      <c r="AA18" s="3">
        <f>7739+65459-293862</f>
        <v>-220664</v>
      </c>
      <c r="AB18" s="3"/>
      <c r="AC18" s="22">
        <f t="shared" si="0"/>
        <v>93548</v>
      </c>
      <c r="AD18" s="3"/>
      <c r="AE18" s="3">
        <f t="shared" si="1"/>
        <v>0</v>
      </c>
    </row>
    <row r="19" spans="1:31" s="16" customFormat="1" ht="12">
      <c r="A19" s="3" t="s">
        <v>256</v>
      </c>
      <c r="C19" s="16" t="s">
        <v>227</v>
      </c>
      <c r="E19" s="16">
        <v>51656</v>
      </c>
      <c r="G19" s="3">
        <v>18499863</v>
      </c>
      <c r="H19" s="3"/>
      <c r="I19" s="3">
        <v>41084</v>
      </c>
      <c r="J19" s="3"/>
      <c r="K19" s="8">
        <f t="shared" si="3"/>
        <v>4942023</v>
      </c>
      <c r="L19" s="3"/>
      <c r="M19" s="3">
        <v>23482970</v>
      </c>
      <c r="N19" s="3"/>
      <c r="O19" s="8">
        <f t="shared" si="2"/>
        <v>1598248</v>
      </c>
      <c r="P19" s="3"/>
      <c r="Q19" s="3">
        <f>3624183+629588</f>
        <v>4253771</v>
      </c>
      <c r="R19" s="3"/>
      <c r="S19" s="3">
        <v>5852019</v>
      </c>
      <c r="T19" s="3"/>
      <c r="U19" s="3"/>
      <c r="V19" s="3"/>
      <c r="W19" s="3">
        <f>73183+110980+1831+362015+41084</f>
        <v>589093</v>
      </c>
      <c r="X19" s="3"/>
      <c r="Y19" s="3">
        <v>0</v>
      </c>
      <c r="Z19" s="3"/>
      <c r="AA19" s="3">
        <f>11423932+1355195+4262731</f>
        <v>17041858</v>
      </c>
      <c r="AB19" s="3"/>
      <c r="AC19" s="22">
        <f t="shared" si="0"/>
        <v>17630951</v>
      </c>
      <c r="AD19" s="3"/>
      <c r="AE19" s="3">
        <f t="shared" si="1"/>
        <v>0</v>
      </c>
    </row>
    <row r="20" spans="1:31" s="16" customFormat="1" ht="12">
      <c r="A20" s="3" t="s">
        <v>337</v>
      </c>
      <c r="C20" s="16" t="s">
        <v>155</v>
      </c>
      <c r="E20" s="16">
        <v>50880</v>
      </c>
      <c r="G20" s="3">
        <v>21906594</v>
      </c>
      <c r="H20" s="3"/>
      <c r="I20" s="3">
        <v>467953</v>
      </c>
      <c r="J20" s="3"/>
      <c r="K20" s="8">
        <f t="shared" si="3"/>
        <v>19084402</v>
      </c>
      <c r="L20" s="3"/>
      <c r="M20" s="3">
        <v>41458949</v>
      </c>
      <c r="N20" s="3"/>
      <c r="O20" s="8">
        <f t="shared" si="2"/>
        <v>9557386</v>
      </c>
      <c r="P20" s="3"/>
      <c r="Q20" s="3">
        <v>18803266</v>
      </c>
      <c r="R20" s="3"/>
      <c r="S20" s="3">
        <v>28360652</v>
      </c>
      <c r="T20" s="3"/>
      <c r="U20" s="3"/>
      <c r="V20" s="3"/>
      <c r="W20" s="3">
        <f>4609701+467953</f>
        <v>5077654</v>
      </c>
      <c r="X20" s="3"/>
      <c r="Y20" s="3">
        <v>0</v>
      </c>
      <c r="Z20" s="3"/>
      <c r="AA20" s="3">
        <f>7058759+669172+292712</f>
        <v>8020643</v>
      </c>
      <c r="AB20" s="3"/>
      <c r="AC20" s="22">
        <f t="shared" si="0"/>
        <v>13098297</v>
      </c>
      <c r="AD20" s="3"/>
      <c r="AE20" s="3">
        <f t="shared" si="1"/>
        <v>0</v>
      </c>
    </row>
    <row r="21" spans="1:31" s="16" customFormat="1" ht="12" hidden="1">
      <c r="A21" s="3" t="s">
        <v>340</v>
      </c>
      <c r="C21" s="16" t="s">
        <v>248</v>
      </c>
      <c r="E21" s="16">
        <v>63511</v>
      </c>
      <c r="G21" s="3"/>
      <c r="H21" s="3"/>
      <c r="I21" s="3"/>
      <c r="J21" s="3"/>
      <c r="K21" s="8">
        <f t="shared" si="3"/>
        <v>0</v>
      </c>
      <c r="L21" s="3"/>
      <c r="M21" s="3"/>
      <c r="N21" s="3"/>
      <c r="O21" s="8">
        <f t="shared" si="2"/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2">
        <f t="shared" si="0"/>
        <v>0</v>
      </c>
      <c r="AD21" s="3"/>
      <c r="AE21" s="3">
        <f t="shared" si="1"/>
        <v>0</v>
      </c>
    </row>
    <row r="22" spans="1:31" s="16" customFormat="1" ht="12">
      <c r="A22" s="3" t="s">
        <v>338</v>
      </c>
      <c r="C22" s="16" t="s">
        <v>165</v>
      </c>
      <c r="E22" s="16">
        <v>50906</v>
      </c>
      <c r="G22" s="3">
        <v>5671365</v>
      </c>
      <c r="H22" s="3"/>
      <c r="I22" s="3">
        <v>0</v>
      </c>
      <c r="J22" s="3"/>
      <c r="K22" s="8">
        <f t="shared" si="3"/>
        <v>2058710</v>
      </c>
      <c r="L22" s="3"/>
      <c r="M22" s="3">
        <v>7730075</v>
      </c>
      <c r="N22" s="3"/>
      <c r="O22" s="8">
        <f t="shared" si="2"/>
        <v>467127</v>
      </c>
      <c r="P22" s="3"/>
      <c r="Q22" s="3">
        <f>186941+1698251</f>
        <v>1885192</v>
      </c>
      <c r="R22" s="3"/>
      <c r="S22" s="3">
        <v>2352319</v>
      </c>
      <c r="T22" s="3"/>
      <c r="U22" s="3"/>
      <c r="V22" s="3"/>
      <c r="W22" s="3">
        <f>10583+3150+168983</f>
        <v>182716</v>
      </c>
      <c r="X22" s="3"/>
      <c r="Y22" s="3">
        <v>0</v>
      </c>
      <c r="Z22" s="3"/>
      <c r="AA22" s="3">
        <f>2868784+292335+2033921</f>
        <v>5195040</v>
      </c>
      <c r="AB22" s="3"/>
      <c r="AC22" s="22">
        <f t="shared" si="0"/>
        <v>5377756</v>
      </c>
      <c r="AD22" s="3"/>
      <c r="AE22" s="3">
        <f t="shared" si="1"/>
        <v>0</v>
      </c>
    </row>
    <row r="23" spans="1:31" s="16" customFormat="1" ht="12">
      <c r="A23" s="3" t="s">
        <v>291</v>
      </c>
      <c r="C23" s="16" t="s">
        <v>240</v>
      </c>
      <c r="E23" s="16">
        <v>65227</v>
      </c>
      <c r="G23" s="3">
        <v>745606</v>
      </c>
      <c r="H23" s="3"/>
      <c r="I23" s="3">
        <v>0</v>
      </c>
      <c r="J23" s="3"/>
      <c r="K23" s="8">
        <f t="shared" si="3"/>
        <v>1334524</v>
      </c>
      <c r="L23" s="3"/>
      <c r="M23" s="3">
        <v>2080130</v>
      </c>
      <c r="N23" s="3"/>
      <c r="O23" s="8">
        <f t="shared" si="2"/>
        <v>450734</v>
      </c>
      <c r="P23" s="3"/>
      <c r="Q23" s="3">
        <v>1231128</v>
      </c>
      <c r="R23" s="3"/>
      <c r="S23" s="3">
        <v>1681862</v>
      </c>
      <c r="T23" s="3"/>
      <c r="U23" s="3"/>
      <c r="V23" s="3"/>
      <c r="W23" s="3">
        <f>48975+58386+65468</f>
        <v>172829</v>
      </c>
      <c r="X23" s="3"/>
      <c r="Y23" s="3">
        <v>0</v>
      </c>
      <c r="Z23" s="3"/>
      <c r="AA23" s="3">
        <f>179205+38234+8000</f>
        <v>225439</v>
      </c>
      <c r="AB23" s="3"/>
      <c r="AC23" s="22">
        <f t="shared" si="0"/>
        <v>398268</v>
      </c>
      <c r="AD23" s="3"/>
      <c r="AE23" s="3">
        <f t="shared" si="1"/>
        <v>0</v>
      </c>
    </row>
    <row r="24" spans="1:31" s="16" customFormat="1" ht="12">
      <c r="A24" s="3" t="s">
        <v>342</v>
      </c>
      <c r="C24" s="16" t="s">
        <v>187</v>
      </c>
      <c r="E24" s="16">
        <v>51201</v>
      </c>
      <c r="G24" s="3">
        <f>6857877+4920</f>
        <v>6862797</v>
      </c>
      <c r="H24" s="3"/>
      <c r="I24" s="3">
        <v>0</v>
      </c>
      <c r="J24" s="3"/>
      <c r="K24" s="8">
        <f t="shared" si="3"/>
        <v>9947537</v>
      </c>
      <c r="L24" s="3"/>
      <c r="M24" s="3">
        <v>16810334</v>
      </c>
      <c r="N24" s="3"/>
      <c r="O24" s="8">
        <f t="shared" si="2"/>
        <v>1627213</v>
      </c>
      <c r="P24" s="3"/>
      <c r="Q24" s="3">
        <v>8237055</v>
      </c>
      <c r="R24" s="3"/>
      <c r="S24" s="3">
        <v>9864268</v>
      </c>
      <c r="T24" s="3"/>
      <c r="U24" s="3"/>
      <c r="V24" s="3"/>
      <c r="W24" s="3">
        <f>98031+1029093</f>
        <v>1127124</v>
      </c>
      <c r="X24" s="3"/>
      <c r="Y24" s="3">
        <v>0</v>
      </c>
      <c r="Z24" s="3"/>
      <c r="AA24" s="3">
        <f>141786+708002+4962329+6825</f>
        <v>5818942</v>
      </c>
      <c r="AB24" s="3"/>
      <c r="AC24" s="22">
        <f t="shared" si="0"/>
        <v>6946066</v>
      </c>
      <c r="AD24" s="3"/>
      <c r="AE24" s="3">
        <f t="shared" si="1"/>
        <v>0</v>
      </c>
    </row>
    <row r="25" spans="1:31" s="16" customFormat="1" ht="12">
      <c r="A25" s="3" t="s">
        <v>288</v>
      </c>
      <c r="C25" s="16" t="s">
        <v>167</v>
      </c>
      <c r="E25" s="16">
        <v>50922</v>
      </c>
      <c r="G25" s="3">
        <f>83787075+6391794</f>
        <v>90178869</v>
      </c>
      <c r="H25" s="3"/>
      <c r="I25" s="3">
        <v>0</v>
      </c>
      <c r="J25" s="3"/>
      <c r="K25" s="8">
        <f t="shared" si="3"/>
        <v>-63800560</v>
      </c>
      <c r="L25" s="3"/>
      <c r="M25" s="3">
        <v>26378309</v>
      </c>
      <c r="N25" s="3"/>
      <c r="O25" s="8">
        <f t="shared" si="2"/>
        <v>1974105</v>
      </c>
      <c r="P25" s="3"/>
      <c r="Q25" s="3">
        <f>1161797+9079045</f>
        <v>10240842</v>
      </c>
      <c r="R25" s="3"/>
      <c r="S25" s="3">
        <v>12214947</v>
      </c>
      <c r="T25" s="3"/>
      <c r="U25" s="3"/>
      <c r="V25" s="3"/>
      <c r="W25" s="3">
        <f>810807+28705+33350+1299436+12547</f>
        <v>2184845</v>
      </c>
      <c r="X25" s="3"/>
      <c r="Y25" s="3">
        <v>0</v>
      </c>
      <c r="Z25" s="3"/>
      <c r="AA25" s="3">
        <f>11286050+131043+561424</f>
        <v>11978517</v>
      </c>
      <c r="AB25" s="3"/>
      <c r="AC25" s="22">
        <f t="shared" si="0"/>
        <v>14163362</v>
      </c>
      <c r="AD25" s="3"/>
      <c r="AE25" s="3">
        <f t="shared" si="1"/>
        <v>0</v>
      </c>
    </row>
    <row r="26" spans="1:31" s="16" customFormat="1" ht="12">
      <c r="A26" s="3" t="s">
        <v>287</v>
      </c>
      <c r="C26" s="16" t="s">
        <v>171</v>
      </c>
      <c r="E26" s="16">
        <v>50989</v>
      </c>
      <c r="G26" s="3">
        <v>18646081</v>
      </c>
      <c r="H26" s="3"/>
      <c r="I26" s="3">
        <v>49102</v>
      </c>
      <c r="J26" s="3"/>
      <c r="K26" s="8">
        <f t="shared" si="3"/>
        <v>12085363</v>
      </c>
      <c r="L26" s="3"/>
      <c r="M26" s="3">
        <v>30780546</v>
      </c>
      <c r="N26" s="3"/>
      <c r="O26" s="8">
        <f t="shared" si="2"/>
        <v>1228423</v>
      </c>
      <c r="P26" s="3"/>
      <c r="Q26" s="3">
        <f>529543+9353595</f>
        <v>9883138</v>
      </c>
      <c r="R26" s="3"/>
      <c r="S26" s="3">
        <v>11111561</v>
      </c>
      <c r="T26" s="3"/>
      <c r="U26" s="3"/>
      <c r="V26" s="3"/>
      <c r="W26" s="3">
        <f>723820+49102+41675+1059381+45304+83334</f>
        <v>2002616</v>
      </c>
      <c r="X26" s="3"/>
      <c r="Y26" s="3">
        <v>0</v>
      </c>
      <c r="Z26" s="3"/>
      <c r="AA26" s="3">
        <f>14398899+286915+2980555</f>
        <v>17666369</v>
      </c>
      <c r="AB26" s="3"/>
      <c r="AC26" s="22">
        <f t="shared" si="0"/>
        <v>19668985</v>
      </c>
      <c r="AD26" s="3"/>
      <c r="AE26" s="3">
        <f t="shared" si="1"/>
        <v>0</v>
      </c>
    </row>
    <row r="27" spans="1:31" s="16" customFormat="1" ht="12">
      <c r="A27" s="3" t="s">
        <v>289</v>
      </c>
      <c r="C27" s="16" t="s">
        <v>175</v>
      </c>
      <c r="E27" s="16">
        <v>51003</v>
      </c>
      <c r="G27" s="3">
        <v>18185954</v>
      </c>
      <c r="H27" s="3"/>
      <c r="I27" s="3">
        <v>134041</v>
      </c>
      <c r="J27" s="3"/>
      <c r="K27" s="8">
        <f t="shared" si="3"/>
        <v>14964847</v>
      </c>
      <c r="L27" s="3"/>
      <c r="M27" s="3">
        <v>33284842</v>
      </c>
      <c r="N27" s="3"/>
      <c r="O27" s="8">
        <f t="shared" si="2"/>
        <v>2854938</v>
      </c>
      <c r="P27" s="3"/>
      <c r="Q27" s="3">
        <v>10766659</v>
      </c>
      <c r="R27" s="3"/>
      <c r="S27" s="3">
        <v>13621597</v>
      </c>
      <c r="T27" s="3"/>
      <c r="U27" s="3">
        <v>0</v>
      </c>
      <c r="V27" s="3"/>
      <c r="W27" s="3">
        <f>4113417+3787630</f>
        <v>7901047</v>
      </c>
      <c r="X27" s="3"/>
      <c r="Y27" s="3">
        <v>0</v>
      </c>
      <c r="Z27" s="3"/>
      <c r="AA27" s="3">
        <f>11866589-104391</f>
        <v>11762198</v>
      </c>
      <c r="AB27" s="3"/>
      <c r="AC27" s="22">
        <f t="shared" si="0"/>
        <v>19663245</v>
      </c>
      <c r="AD27" s="3"/>
      <c r="AE27" s="3">
        <f t="shared" si="1"/>
        <v>0</v>
      </c>
    </row>
    <row r="28" spans="1:31" s="16" customFormat="1" ht="12">
      <c r="A28" s="3" t="s">
        <v>290</v>
      </c>
      <c r="C28" s="16" t="s">
        <v>172</v>
      </c>
      <c r="E28" s="16">
        <v>51029</v>
      </c>
      <c r="G28" s="3">
        <v>7079386</v>
      </c>
      <c r="H28" s="3"/>
      <c r="I28" s="3">
        <v>0</v>
      </c>
      <c r="J28" s="3"/>
      <c r="K28" s="8">
        <f t="shared" si="3"/>
        <v>7057027</v>
      </c>
      <c r="L28" s="3"/>
      <c r="M28" s="3">
        <v>14136413</v>
      </c>
      <c r="N28" s="3"/>
      <c r="O28" s="8">
        <f t="shared" si="2"/>
        <v>1546234</v>
      </c>
      <c r="P28" s="3"/>
      <c r="Q28" s="3">
        <f>906793+4991717</f>
        <v>5898510</v>
      </c>
      <c r="R28" s="3"/>
      <c r="S28" s="3">
        <v>7444744</v>
      </c>
      <c r="T28" s="3"/>
      <c r="U28" s="3">
        <v>0</v>
      </c>
      <c r="V28" s="3"/>
      <c r="W28" s="3">
        <f>1004807+59726+23675+781290+3268</f>
        <v>1872766</v>
      </c>
      <c r="X28" s="3"/>
      <c r="Y28" s="3">
        <v>0</v>
      </c>
      <c r="Z28" s="3"/>
      <c r="AA28" s="3">
        <f>4311335+429996+77572</f>
        <v>4818903</v>
      </c>
      <c r="AB28" s="3"/>
      <c r="AC28" s="22">
        <f t="shared" si="0"/>
        <v>6691669</v>
      </c>
      <c r="AD28" s="3"/>
      <c r="AE28" s="3">
        <f t="shared" si="1"/>
        <v>0</v>
      </c>
    </row>
    <row r="29" spans="1:31" s="16" customFormat="1" ht="12">
      <c r="A29" s="3" t="s">
        <v>292</v>
      </c>
      <c r="C29" s="16" t="s">
        <v>242</v>
      </c>
      <c r="E29" s="16">
        <v>50963</v>
      </c>
      <c r="G29" s="3">
        <f>8692841+3171021</f>
        <v>11863862</v>
      </c>
      <c r="H29" s="3"/>
      <c r="I29" s="3">
        <v>725000</v>
      </c>
      <c r="J29" s="3"/>
      <c r="K29" s="8">
        <f t="shared" si="3"/>
        <v>6124766</v>
      </c>
      <c r="L29" s="3"/>
      <c r="M29" s="3">
        <v>18713628</v>
      </c>
      <c r="N29" s="3"/>
      <c r="O29" s="8">
        <f t="shared" si="2"/>
        <v>1908649</v>
      </c>
      <c r="P29" s="3"/>
      <c r="Q29" s="3">
        <v>4954684</v>
      </c>
      <c r="R29" s="3"/>
      <c r="S29" s="3">
        <v>6863333</v>
      </c>
      <c r="T29" s="3"/>
      <c r="U29" s="3">
        <v>0</v>
      </c>
      <c r="V29" s="3"/>
      <c r="W29" s="3">
        <f>845030+198476+516849+725000</f>
        <v>2285355</v>
      </c>
      <c r="X29" s="3"/>
      <c r="Y29" s="3">
        <v>0</v>
      </c>
      <c r="Z29" s="3"/>
      <c r="AA29" s="3">
        <f>7347873+147863+2069204</f>
        <v>9564940</v>
      </c>
      <c r="AB29" s="3"/>
      <c r="AC29" s="22">
        <f t="shared" si="0"/>
        <v>11850295</v>
      </c>
      <c r="AD29" s="3"/>
      <c r="AE29" s="3">
        <f t="shared" si="1"/>
        <v>0</v>
      </c>
    </row>
    <row r="30" spans="1:31" s="16" customFormat="1" ht="12">
      <c r="A30" s="3" t="s">
        <v>241</v>
      </c>
      <c r="C30" s="16" t="s">
        <v>178</v>
      </c>
      <c r="E30" s="16">
        <v>62067</v>
      </c>
      <c r="G30" s="3">
        <f>6860597+245819</f>
        <v>7106416</v>
      </c>
      <c r="H30" s="3"/>
      <c r="I30" s="3">
        <v>32757</v>
      </c>
      <c r="J30" s="3"/>
      <c r="K30" s="8">
        <f t="shared" si="3"/>
        <v>3528866</v>
      </c>
      <c r="L30" s="3"/>
      <c r="M30" s="3">
        <v>10668039</v>
      </c>
      <c r="N30" s="3"/>
      <c r="O30" s="8">
        <f t="shared" si="2"/>
        <v>1907179</v>
      </c>
      <c r="P30" s="3"/>
      <c r="Q30" s="3">
        <v>2707782</v>
      </c>
      <c r="R30" s="3"/>
      <c r="S30" s="3">
        <v>4614961</v>
      </c>
      <c r="T30" s="3"/>
      <c r="U30" s="3"/>
      <c r="V30" s="3"/>
      <c r="W30" s="3">
        <f>646587+147384+32757</f>
        <v>826728</v>
      </c>
      <c r="X30" s="3"/>
      <c r="Y30" s="3">
        <v>0</v>
      </c>
      <c r="Z30" s="3"/>
      <c r="AA30" s="3">
        <f>1097846+577557+3550947</f>
        <v>5226350</v>
      </c>
      <c r="AB30" s="3"/>
      <c r="AC30" s="22">
        <f t="shared" si="0"/>
        <v>6053078</v>
      </c>
      <c r="AD30" s="3"/>
      <c r="AE30" s="3">
        <f t="shared" si="1"/>
        <v>0</v>
      </c>
    </row>
    <row r="31" spans="1:31" s="16" customFormat="1" ht="12">
      <c r="A31" s="3" t="s">
        <v>374</v>
      </c>
      <c r="C31" s="16" t="s">
        <v>181</v>
      </c>
      <c r="E31" s="16">
        <v>51060</v>
      </c>
      <c r="G31" s="3">
        <v>50460608</v>
      </c>
      <c r="H31" s="3"/>
      <c r="I31" s="3">
        <v>47122</v>
      </c>
      <c r="J31" s="3"/>
      <c r="K31" s="8">
        <f t="shared" si="3"/>
        <v>44295372</v>
      </c>
      <c r="L31" s="3"/>
      <c r="M31" s="3">
        <v>94803102</v>
      </c>
      <c r="N31" s="3"/>
      <c r="O31" s="8">
        <f t="shared" si="2"/>
        <v>10815161</v>
      </c>
      <c r="P31" s="3"/>
      <c r="Q31" s="3">
        <v>29061317</v>
      </c>
      <c r="R31" s="3"/>
      <c r="S31" s="3">
        <v>39876478</v>
      </c>
      <c r="T31" s="3"/>
      <c r="U31" s="3"/>
      <c r="V31" s="3"/>
      <c r="W31" s="3">
        <f>13987872+34389+10675553</f>
        <v>24697814</v>
      </c>
      <c r="X31" s="3"/>
      <c r="Y31" s="3">
        <v>0</v>
      </c>
      <c r="Z31" s="3"/>
      <c r="AA31" s="3">
        <f>24930189+872156+4426465</f>
        <v>30228810</v>
      </c>
      <c r="AB31" s="3"/>
      <c r="AC31" s="22">
        <f t="shared" si="0"/>
        <v>54926624</v>
      </c>
      <c r="AD31" s="3"/>
      <c r="AE31" s="3">
        <f t="shared" si="1"/>
        <v>0</v>
      </c>
    </row>
    <row r="32" spans="1:31" s="16" customFormat="1" ht="12">
      <c r="A32" s="3" t="s">
        <v>375</v>
      </c>
      <c r="C32" s="16" t="s">
        <v>180</v>
      </c>
      <c r="E32" s="16">
        <v>51045</v>
      </c>
      <c r="G32" s="3">
        <v>9977697</v>
      </c>
      <c r="H32" s="3"/>
      <c r="I32" s="3">
        <v>0</v>
      </c>
      <c r="J32" s="3"/>
      <c r="K32" s="8">
        <f t="shared" si="3"/>
        <v>8958178</v>
      </c>
      <c r="L32" s="3"/>
      <c r="M32" s="3">
        <v>18935875</v>
      </c>
      <c r="N32" s="3"/>
      <c r="O32" s="8">
        <f t="shared" si="2"/>
        <v>1923478</v>
      </c>
      <c r="P32" s="3"/>
      <c r="Q32" s="3">
        <v>7837763</v>
      </c>
      <c r="R32" s="3"/>
      <c r="S32" s="3">
        <v>9761241</v>
      </c>
      <c r="T32" s="3"/>
      <c r="U32" s="3"/>
      <c r="V32" s="3"/>
      <c r="W32" s="3">
        <f>5768638+715679</f>
        <v>6484317</v>
      </c>
      <c r="X32" s="3"/>
      <c r="Y32" s="3">
        <v>0</v>
      </c>
      <c r="Z32" s="3"/>
      <c r="AA32" s="3">
        <f>2786546+54824+27547-178600</f>
        <v>2690317</v>
      </c>
      <c r="AB32" s="3"/>
      <c r="AC32" s="22">
        <f t="shared" si="0"/>
        <v>9174634</v>
      </c>
      <c r="AD32" s="3"/>
      <c r="AE32" s="3">
        <f t="shared" si="1"/>
        <v>0</v>
      </c>
    </row>
    <row r="33" spans="1:31" s="16" customFormat="1" ht="12">
      <c r="A33" s="3" t="s">
        <v>243</v>
      </c>
      <c r="C33" s="16" t="s">
        <v>183</v>
      </c>
      <c r="E33" s="16">
        <v>51128</v>
      </c>
      <c r="G33" s="3">
        <v>755645</v>
      </c>
      <c r="H33" s="3"/>
      <c r="I33" s="3">
        <v>17604</v>
      </c>
      <c r="J33" s="3"/>
      <c r="K33" s="8">
        <f t="shared" si="3"/>
        <v>1766671</v>
      </c>
      <c r="L33" s="3"/>
      <c r="M33" s="3">
        <v>2539920</v>
      </c>
      <c r="N33" s="3"/>
      <c r="O33" s="8">
        <f t="shared" si="2"/>
        <v>820016</v>
      </c>
      <c r="P33" s="3"/>
      <c r="Q33" s="3">
        <v>1546575</v>
      </c>
      <c r="R33" s="3"/>
      <c r="S33" s="3">
        <v>2366591</v>
      </c>
      <c r="T33" s="3"/>
      <c r="U33" s="3"/>
      <c r="V33" s="3"/>
      <c r="W33" s="3">
        <f>96766+164001+17604</f>
        <v>278371</v>
      </c>
      <c r="X33" s="3"/>
      <c r="Y33" s="3">
        <v>0</v>
      </c>
      <c r="Z33" s="3"/>
      <c r="AA33" s="3">
        <f>18196+284032-407270</f>
        <v>-105042</v>
      </c>
      <c r="AB33" s="3"/>
      <c r="AC33" s="22">
        <f t="shared" si="0"/>
        <v>173329</v>
      </c>
      <c r="AD33" s="3"/>
      <c r="AE33" s="3">
        <f t="shared" si="1"/>
        <v>0</v>
      </c>
    </row>
    <row r="34" spans="1:31" s="16" customFormat="1" ht="12">
      <c r="A34" s="3" t="s">
        <v>293</v>
      </c>
      <c r="C34" s="16" t="s">
        <v>184</v>
      </c>
      <c r="E34" s="16">
        <v>51144</v>
      </c>
      <c r="G34" s="3">
        <v>13160019</v>
      </c>
      <c r="H34" s="3"/>
      <c r="I34" s="3">
        <v>0</v>
      </c>
      <c r="J34" s="3"/>
      <c r="K34" s="8">
        <f t="shared" si="3"/>
        <v>4299249</v>
      </c>
      <c r="L34" s="3"/>
      <c r="M34" s="3">
        <v>17459268</v>
      </c>
      <c r="N34" s="3"/>
      <c r="O34" s="8">
        <f t="shared" si="2"/>
        <v>1992676</v>
      </c>
      <c r="P34" s="3"/>
      <c r="Q34" s="3">
        <v>2036428</v>
      </c>
      <c r="R34" s="3"/>
      <c r="S34" s="3">
        <v>4029104</v>
      </c>
      <c r="T34" s="3"/>
      <c r="U34" s="3"/>
      <c r="V34" s="3"/>
      <c r="W34" s="3">
        <f>130050+1116627</f>
        <v>1246677</v>
      </c>
      <c r="X34" s="3"/>
      <c r="Y34" s="3">
        <v>0</v>
      </c>
      <c r="Z34" s="3"/>
      <c r="AA34" s="3">
        <f>10537973+807279+838235</f>
        <v>12183487</v>
      </c>
      <c r="AB34" s="3"/>
      <c r="AC34" s="22">
        <f t="shared" si="0"/>
        <v>13430164</v>
      </c>
      <c r="AD34" s="3"/>
      <c r="AE34" s="3">
        <f t="shared" si="1"/>
        <v>0</v>
      </c>
    </row>
    <row r="35" spans="1:31" s="16" customFormat="1" ht="12">
      <c r="A35" s="3" t="s">
        <v>244</v>
      </c>
      <c r="C35" s="16" t="s">
        <v>185</v>
      </c>
      <c r="E35" s="16">
        <v>51185</v>
      </c>
      <c r="G35" s="3">
        <v>13765770</v>
      </c>
      <c r="H35" s="3"/>
      <c r="I35" s="3">
        <v>0</v>
      </c>
      <c r="J35" s="3"/>
      <c r="K35" s="8">
        <f t="shared" si="3"/>
        <v>1778734</v>
      </c>
      <c r="L35" s="3"/>
      <c r="M35" s="3">
        <v>15544504</v>
      </c>
      <c r="N35" s="3"/>
      <c r="O35" s="8">
        <f t="shared" si="2"/>
        <v>743592</v>
      </c>
      <c r="P35" s="3"/>
      <c r="Q35" s="3">
        <v>1449845</v>
      </c>
      <c r="R35" s="3"/>
      <c r="S35" s="3">
        <v>2193437</v>
      </c>
      <c r="T35" s="3"/>
      <c r="U35" s="3"/>
      <c r="V35" s="3"/>
      <c r="W35" s="3">
        <f>463389+178312</f>
        <v>641701</v>
      </c>
      <c r="X35" s="3"/>
      <c r="Y35" s="3">
        <v>0</v>
      </c>
      <c r="Z35" s="3"/>
      <c r="AA35" s="3">
        <f>2521136+10453412-182080-83102</f>
        <v>12709366</v>
      </c>
      <c r="AB35" s="3"/>
      <c r="AC35" s="22">
        <f t="shared" si="0"/>
        <v>13351067</v>
      </c>
      <c r="AD35" s="3"/>
      <c r="AE35" s="3">
        <f t="shared" si="1"/>
        <v>0</v>
      </c>
    </row>
    <row r="36" spans="1:31" s="16" customFormat="1" ht="12" hidden="1">
      <c r="A36" s="3" t="s">
        <v>319</v>
      </c>
      <c r="C36" s="16" t="s">
        <v>187</v>
      </c>
      <c r="E36" s="16">
        <v>47977</v>
      </c>
      <c r="G36" s="3"/>
      <c r="H36" s="3"/>
      <c r="I36" s="3"/>
      <c r="J36" s="3"/>
      <c r="K36" s="8">
        <f t="shared" si="3"/>
        <v>0</v>
      </c>
      <c r="L36" s="3"/>
      <c r="M36" s="3"/>
      <c r="N36" s="3"/>
      <c r="O36" s="8">
        <f t="shared" si="2"/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2">
        <f t="shared" si="0"/>
        <v>0</v>
      </c>
      <c r="AE36" s="3">
        <f t="shared" si="1"/>
        <v>0</v>
      </c>
    </row>
    <row r="37" spans="1:31" s="16" customFormat="1" ht="12">
      <c r="A37" s="3" t="s">
        <v>246</v>
      </c>
      <c r="C37" s="16" t="s">
        <v>150</v>
      </c>
      <c r="E37" s="16">
        <v>51227</v>
      </c>
      <c r="G37" s="3">
        <v>12030634</v>
      </c>
      <c r="H37" s="3"/>
      <c r="I37" s="3">
        <v>0</v>
      </c>
      <c r="J37" s="3"/>
      <c r="K37" s="8">
        <f t="shared" si="3"/>
        <v>12879035</v>
      </c>
      <c r="L37" s="3"/>
      <c r="M37" s="3">
        <v>24909669</v>
      </c>
      <c r="N37" s="3"/>
      <c r="O37" s="8">
        <f t="shared" si="2"/>
        <v>2917956</v>
      </c>
      <c r="P37" s="3"/>
      <c r="Q37" s="3">
        <v>11616937</v>
      </c>
      <c r="R37" s="3"/>
      <c r="S37" s="3">
        <v>14534893</v>
      </c>
      <c r="T37" s="3"/>
      <c r="U37" s="3"/>
      <c r="V37" s="3"/>
      <c r="W37" s="3">
        <f>640099+153280+444368</f>
        <v>1237747</v>
      </c>
      <c r="X37" s="3"/>
      <c r="Y37" s="3">
        <v>0</v>
      </c>
      <c r="Z37" s="3"/>
      <c r="AA37" s="3">
        <f>5845559+1450737+1840733</f>
        <v>9137029</v>
      </c>
      <c r="AB37" s="3"/>
      <c r="AC37" s="22">
        <f t="shared" si="0"/>
        <v>10374776</v>
      </c>
      <c r="AD37" s="3"/>
      <c r="AE37" s="3">
        <f t="shared" si="1"/>
        <v>0</v>
      </c>
    </row>
    <row r="38" spans="1:31" s="16" customFormat="1" ht="12">
      <c r="A38" s="3" t="s">
        <v>249</v>
      </c>
      <c r="C38" s="16" t="s">
        <v>191</v>
      </c>
      <c r="E38" s="16">
        <v>51243</v>
      </c>
      <c r="G38" s="3">
        <v>7561054</v>
      </c>
      <c r="H38" s="3"/>
      <c r="I38" s="3">
        <v>0</v>
      </c>
      <c r="J38" s="3"/>
      <c r="K38" s="8">
        <f t="shared" si="3"/>
        <v>20472982</v>
      </c>
      <c r="L38" s="3"/>
      <c r="M38" s="3">
        <v>28034036</v>
      </c>
      <c r="N38" s="3"/>
      <c r="O38" s="8">
        <f t="shared" si="2"/>
        <v>1072683</v>
      </c>
      <c r="P38" s="3"/>
      <c r="Q38" s="3">
        <v>6945525</v>
      </c>
      <c r="R38" s="3"/>
      <c r="S38" s="3">
        <v>8018208</v>
      </c>
      <c r="T38" s="3"/>
      <c r="U38" s="3"/>
      <c r="V38" s="3"/>
      <c r="W38" s="3">
        <f>488963+3418</f>
        <v>492381</v>
      </c>
      <c r="X38" s="3"/>
      <c r="Y38" s="3">
        <v>0</v>
      </c>
      <c r="Z38" s="3"/>
      <c r="AA38" s="3">
        <f>19504801+88890-70244</f>
        <v>19523447</v>
      </c>
      <c r="AB38" s="3"/>
      <c r="AC38" s="22">
        <f t="shared" si="0"/>
        <v>20015828</v>
      </c>
      <c r="AD38" s="3"/>
      <c r="AE38" s="3">
        <f t="shared" si="1"/>
        <v>0</v>
      </c>
    </row>
    <row r="39" spans="1:31" s="16" customFormat="1" ht="12">
      <c r="A39" s="3" t="s">
        <v>294</v>
      </c>
      <c r="C39" s="16" t="s">
        <v>207</v>
      </c>
      <c r="E39" s="16">
        <v>51391</v>
      </c>
      <c r="G39" s="3">
        <v>20390540</v>
      </c>
      <c r="H39" s="3"/>
      <c r="I39" s="3">
        <v>223362</v>
      </c>
      <c r="J39" s="3"/>
      <c r="K39" s="8">
        <f t="shared" si="3"/>
        <v>7337196</v>
      </c>
      <c r="L39" s="3"/>
      <c r="M39" s="3">
        <v>27951098</v>
      </c>
      <c r="N39" s="3"/>
      <c r="O39" s="8">
        <f t="shared" si="2"/>
        <v>1204395</v>
      </c>
      <c r="P39" s="3"/>
      <c r="Q39" s="3">
        <v>5770028</v>
      </c>
      <c r="R39" s="3"/>
      <c r="S39" s="3">
        <v>6974423</v>
      </c>
      <c r="T39" s="3"/>
      <c r="U39" s="3"/>
      <c r="V39" s="3"/>
      <c r="W39" s="3">
        <f>5073844+1254808+223362+37168</f>
        <v>6589182</v>
      </c>
      <c r="X39" s="3"/>
      <c r="Y39" s="3">
        <v>409334</v>
      </c>
      <c r="Z39" s="3"/>
      <c r="AA39" s="3">
        <f>13978710-551</f>
        <v>13978159</v>
      </c>
      <c r="AB39" s="3"/>
      <c r="AC39" s="22">
        <f t="shared" si="0"/>
        <v>20976675</v>
      </c>
      <c r="AD39" s="3"/>
      <c r="AE39" s="3">
        <f t="shared" si="1"/>
        <v>0</v>
      </c>
    </row>
    <row r="40" spans="1:31" s="16" customFormat="1" ht="12">
      <c r="A40" s="3" t="s">
        <v>252</v>
      </c>
      <c r="C40" s="16" t="s">
        <v>193</v>
      </c>
      <c r="E40" s="16">
        <v>62109</v>
      </c>
      <c r="G40" s="3">
        <v>7036543</v>
      </c>
      <c r="H40" s="3"/>
      <c r="I40" s="3">
        <v>0</v>
      </c>
      <c r="J40" s="3"/>
      <c r="K40" s="8">
        <f t="shared" si="3"/>
        <v>8175250</v>
      </c>
      <c r="L40" s="3"/>
      <c r="M40" s="3">
        <v>15211793</v>
      </c>
      <c r="N40" s="3"/>
      <c r="O40" s="8">
        <f t="shared" si="2"/>
        <v>1664211</v>
      </c>
      <c r="P40" s="3"/>
      <c r="Q40" s="3">
        <v>6784382</v>
      </c>
      <c r="R40" s="3"/>
      <c r="S40" s="3">
        <v>8448593</v>
      </c>
      <c r="T40" s="3"/>
      <c r="U40" s="3"/>
      <c r="V40" s="3"/>
      <c r="W40" s="3">
        <f>240420+134706+1012807</f>
        <v>1387933</v>
      </c>
      <c r="X40" s="3"/>
      <c r="Y40" s="3">
        <v>0</v>
      </c>
      <c r="Z40" s="3"/>
      <c r="AA40" s="3">
        <f>5326161+46704+2402</f>
        <v>5375267</v>
      </c>
      <c r="AB40" s="3"/>
      <c r="AC40" s="22">
        <f t="shared" si="0"/>
        <v>6763200</v>
      </c>
      <c r="AD40" s="3"/>
      <c r="AE40" s="3">
        <f t="shared" si="1"/>
        <v>0</v>
      </c>
    </row>
    <row r="41" spans="1:31" s="16" customFormat="1" ht="12">
      <c r="A41" s="3" t="s">
        <v>295</v>
      </c>
      <c r="C41" s="16" t="s">
        <v>199</v>
      </c>
      <c r="E41" s="16">
        <v>51284</v>
      </c>
      <c r="G41" s="3">
        <v>4867693</v>
      </c>
      <c r="H41" s="3"/>
      <c r="I41" s="3">
        <v>0</v>
      </c>
      <c r="J41" s="3"/>
      <c r="K41" s="8">
        <f t="shared" si="3"/>
        <v>12257256</v>
      </c>
      <c r="L41" s="3"/>
      <c r="M41" s="3">
        <v>17124949</v>
      </c>
      <c r="N41" s="3"/>
      <c r="O41" s="8">
        <f t="shared" si="2"/>
        <v>3299160</v>
      </c>
      <c r="P41" s="3"/>
      <c r="Q41" s="3">
        <v>11062250</v>
      </c>
      <c r="R41" s="3"/>
      <c r="S41" s="3">
        <v>14361410</v>
      </c>
      <c r="T41" s="3"/>
      <c r="U41" s="3"/>
      <c r="V41" s="3"/>
      <c r="W41" s="3">
        <f>1031203+858727</f>
        <v>1889930</v>
      </c>
      <c r="X41" s="3"/>
      <c r="Y41" s="3">
        <v>0</v>
      </c>
      <c r="Z41" s="3"/>
      <c r="AA41" s="3">
        <f>-402805+808848+467566</f>
        <v>873609</v>
      </c>
      <c r="AB41" s="3"/>
      <c r="AC41" s="22">
        <f t="shared" si="0"/>
        <v>2763539</v>
      </c>
      <c r="AD41" s="3"/>
      <c r="AE41" s="3">
        <f t="shared" si="1"/>
        <v>0</v>
      </c>
    </row>
    <row r="42" spans="1:31" s="16" customFormat="1" ht="12">
      <c r="A42" s="3" t="s">
        <v>296</v>
      </c>
      <c r="C42" s="16" t="s">
        <v>201</v>
      </c>
      <c r="E42" s="16">
        <v>51300</v>
      </c>
      <c r="G42" s="3">
        <f>17886871+443262+20614163</f>
        <v>38944296</v>
      </c>
      <c r="H42" s="3"/>
      <c r="I42" s="3">
        <v>0</v>
      </c>
      <c r="J42" s="3"/>
      <c r="K42" s="8">
        <f t="shared" si="3"/>
        <v>33228188</v>
      </c>
      <c r="L42" s="3"/>
      <c r="M42" s="3">
        <v>72172484</v>
      </c>
      <c r="N42" s="3"/>
      <c r="O42" s="8">
        <f t="shared" si="2"/>
        <v>1704602</v>
      </c>
      <c r="P42" s="3"/>
      <c r="Q42" s="3">
        <v>32301733</v>
      </c>
      <c r="R42" s="3"/>
      <c r="S42" s="3">
        <v>34006335</v>
      </c>
      <c r="T42" s="3"/>
      <c r="U42" s="3"/>
      <c r="V42" s="3"/>
      <c r="W42" s="3">
        <f>1206302+1987+45566+362645</f>
        <v>1616500</v>
      </c>
      <c r="X42" s="3"/>
      <c r="Y42" s="3">
        <v>128102</v>
      </c>
      <c r="Z42" s="3"/>
      <c r="AA42" s="3">
        <f>9778633+1981662+1350056+23311196</f>
        <v>36421547</v>
      </c>
      <c r="AB42" s="3"/>
      <c r="AC42" s="22">
        <f t="shared" si="0"/>
        <v>38166149</v>
      </c>
      <c r="AD42" s="3"/>
      <c r="AE42" s="3">
        <f t="shared" si="1"/>
        <v>0</v>
      </c>
    </row>
    <row r="43" spans="1:31" s="16" customFormat="1" ht="12">
      <c r="A43" s="3" t="s">
        <v>245</v>
      </c>
      <c r="C43" s="16" t="s">
        <v>188</v>
      </c>
      <c r="E43" s="16">
        <v>51334</v>
      </c>
      <c r="G43" s="3">
        <v>8816954</v>
      </c>
      <c r="H43" s="3"/>
      <c r="I43" s="3">
        <v>97462</v>
      </c>
      <c r="J43" s="3"/>
      <c r="K43" s="8">
        <f t="shared" si="3"/>
        <v>6044455</v>
      </c>
      <c r="L43" s="3"/>
      <c r="M43" s="3">
        <v>14958871</v>
      </c>
      <c r="N43" s="3"/>
      <c r="O43" s="8">
        <f t="shared" si="2"/>
        <v>1432157</v>
      </c>
      <c r="P43" s="3"/>
      <c r="Q43" s="3">
        <v>4651486</v>
      </c>
      <c r="R43" s="3"/>
      <c r="S43" s="3">
        <v>6083643</v>
      </c>
      <c r="T43" s="3"/>
      <c r="U43" s="3"/>
      <c r="V43" s="3"/>
      <c r="W43" s="3">
        <f>1104898+3111+996022+34380</f>
        <v>2138411</v>
      </c>
      <c r="X43" s="3"/>
      <c r="Y43" s="3">
        <v>0</v>
      </c>
      <c r="Z43" s="3"/>
      <c r="AA43" s="3">
        <f>5889271+479214+368332</f>
        <v>6736817</v>
      </c>
      <c r="AB43" s="3"/>
      <c r="AC43" s="22">
        <f t="shared" si="0"/>
        <v>8875228</v>
      </c>
      <c r="AD43" s="3"/>
      <c r="AE43" s="3">
        <f t="shared" si="1"/>
        <v>0</v>
      </c>
    </row>
    <row r="44" spans="1:31" s="16" customFormat="1" ht="12">
      <c r="A44" s="3" t="s">
        <v>297</v>
      </c>
      <c r="C44" s="16" t="s">
        <v>236</v>
      </c>
      <c r="E44" s="16">
        <v>51359</v>
      </c>
      <c r="G44" s="3">
        <f>16596357+4201624</f>
        <v>20797981</v>
      </c>
      <c r="H44" s="3"/>
      <c r="I44" s="3">
        <v>59202</v>
      </c>
      <c r="J44" s="3"/>
      <c r="K44" s="8">
        <f t="shared" si="3"/>
        <v>16937390</v>
      </c>
      <c r="L44" s="3"/>
      <c r="M44" s="3">
        <v>37794573</v>
      </c>
      <c r="N44" s="3"/>
      <c r="O44" s="8">
        <f t="shared" si="2"/>
        <v>18041274</v>
      </c>
      <c r="P44" s="3"/>
      <c r="Q44" s="3">
        <v>631631</v>
      </c>
      <c r="R44" s="3"/>
      <c r="S44" s="3">
        <v>18672905</v>
      </c>
      <c r="T44" s="3"/>
      <c r="U44" s="3">
        <v>0</v>
      </c>
      <c r="V44" s="3"/>
      <c r="W44" s="3">
        <f>273087+72175+1628640</f>
        <v>1973902</v>
      </c>
      <c r="X44" s="3"/>
      <c r="Y44" s="3">
        <v>0</v>
      </c>
      <c r="Z44" s="3"/>
      <c r="AA44" s="3">
        <f>1200871+1492484+4206638+10247773</f>
        <v>17147766</v>
      </c>
      <c r="AB44" s="3"/>
      <c r="AC44" s="22">
        <f t="shared" si="0"/>
        <v>19121668</v>
      </c>
      <c r="AD44" s="3"/>
      <c r="AE44" s="3">
        <f t="shared" si="1"/>
        <v>0</v>
      </c>
    </row>
    <row r="45" spans="1:31" s="16" customFormat="1" ht="12">
      <c r="A45" s="3" t="s">
        <v>298</v>
      </c>
      <c r="C45" s="16" t="s">
        <v>214</v>
      </c>
      <c r="E45" s="16">
        <v>51433</v>
      </c>
      <c r="G45" s="3">
        <v>9942950</v>
      </c>
      <c r="H45" s="3"/>
      <c r="I45" s="3">
        <v>67427</v>
      </c>
      <c r="J45" s="3"/>
      <c r="K45" s="8">
        <f t="shared" si="3"/>
        <v>5325915</v>
      </c>
      <c r="L45" s="3"/>
      <c r="M45" s="3">
        <v>15336292</v>
      </c>
      <c r="N45" s="3"/>
      <c r="O45" s="8">
        <f t="shared" si="2"/>
        <v>1958342</v>
      </c>
      <c r="P45" s="3"/>
      <c r="Q45" s="3">
        <v>3900418</v>
      </c>
      <c r="R45" s="3"/>
      <c r="S45" s="3">
        <v>5858760</v>
      </c>
      <c r="T45" s="3"/>
      <c r="U45" s="3">
        <v>0</v>
      </c>
      <c r="V45" s="3"/>
      <c r="W45" s="3">
        <f>318169+779102</f>
        <v>1097271</v>
      </c>
      <c r="X45" s="3"/>
      <c r="Y45" s="3">
        <v>0</v>
      </c>
      <c r="Z45" s="3"/>
      <c r="AA45" s="3">
        <f>5495018+2361030+524213</f>
        <v>8380261</v>
      </c>
      <c r="AB45" s="3"/>
      <c r="AC45" s="22">
        <f t="shared" si="0"/>
        <v>9477532</v>
      </c>
      <c r="AD45" s="3"/>
      <c r="AE45" s="3">
        <f t="shared" si="1"/>
        <v>0</v>
      </c>
    </row>
    <row r="46" spans="1:31" s="16" customFormat="1" ht="12">
      <c r="A46" s="3" t="s">
        <v>299</v>
      </c>
      <c r="C46" s="16" t="s">
        <v>254</v>
      </c>
      <c r="E46" s="16">
        <v>51375</v>
      </c>
      <c r="G46" s="3">
        <f>5014459+5000</f>
        <v>5019459</v>
      </c>
      <c r="H46" s="3"/>
      <c r="I46" s="3">
        <v>23547</v>
      </c>
      <c r="J46" s="3"/>
      <c r="K46" s="8">
        <f t="shared" si="3"/>
        <v>1958531</v>
      </c>
      <c r="L46" s="3"/>
      <c r="M46" s="3">
        <v>7001537</v>
      </c>
      <c r="N46" s="3"/>
      <c r="O46" s="8">
        <f t="shared" si="2"/>
        <v>1033194</v>
      </c>
      <c r="P46" s="3"/>
      <c r="Q46" s="3">
        <v>1230369</v>
      </c>
      <c r="R46" s="3"/>
      <c r="S46" s="3">
        <v>2263563</v>
      </c>
      <c r="T46" s="3"/>
      <c r="U46" s="3">
        <v>0</v>
      </c>
      <c r="V46" s="3"/>
      <c r="W46" s="3">
        <f>11198+112655+23547</f>
        <v>147400</v>
      </c>
      <c r="X46" s="3"/>
      <c r="Y46" s="3">
        <v>0</v>
      </c>
      <c r="Z46" s="3"/>
      <c r="AA46" s="3">
        <f>4257060+320645+230153-217284</f>
        <v>4590574</v>
      </c>
      <c r="AB46" s="3"/>
      <c r="AC46" s="22">
        <f t="shared" ref="AC46:AC64" si="4">+AA46+Y46+U46+W46</f>
        <v>4737974</v>
      </c>
      <c r="AD46" s="3"/>
      <c r="AE46" s="3">
        <f t="shared" ref="AE46:AE64" si="5">+G46+I46+K46-O46-Q46-AA46-Y46-U46-W46</f>
        <v>0</v>
      </c>
    </row>
    <row r="47" spans="1:31" s="16" customFormat="1" ht="12">
      <c r="A47" s="3" t="s">
        <v>300</v>
      </c>
      <c r="C47" s="16" t="s">
        <v>212</v>
      </c>
      <c r="E47" s="16">
        <v>51417</v>
      </c>
      <c r="G47" s="3">
        <f>34923196+782445</f>
        <v>35705641</v>
      </c>
      <c r="H47" s="3"/>
      <c r="I47" s="3">
        <v>0</v>
      </c>
      <c r="J47" s="3"/>
      <c r="K47" s="8">
        <f t="shared" si="3"/>
        <v>15070466</v>
      </c>
      <c r="L47" s="3"/>
      <c r="M47" s="3">
        <v>50776107</v>
      </c>
      <c r="N47" s="3"/>
      <c r="O47" s="8">
        <f t="shared" si="2"/>
        <v>7133525</v>
      </c>
      <c r="P47" s="3"/>
      <c r="Q47" s="3">
        <v>10434913</v>
      </c>
      <c r="R47" s="3"/>
      <c r="S47" s="3">
        <v>17568438</v>
      </c>
      <c r="T47" s="3"/>
      <c r="U47" s="3">
        <v>0</v>
      </c>
      <c r="V47" s="3"/>
      <c r="W47" s="3">
        <f>922882+100495+90876+784686+957825</f>
        <v>2856764</v>
      </c>
      <c r="X47" s="3"/>
      <c r="Y47" s="3">
        <v>0</v>
      </c>
      <c r="Z47" s="3"/>
      <c r="AA47" s="3">
        <f>9387807+993015+19970083</f>
        <v>30350905</v>
      </c>
      <c r="AB47" s="3"/>
      <c r="AC47" s="22">
        <f t="shared" si="4"/>
        <v>33207669</v>
      </c>
      <c r="AD47" s="3"/>
      <c r="AE47" s="3">
        <f t="shared" si="5"/>
        <v>0</v>
      </c>
    </row>
    <row r="48" spans="1:31" s="16" customFormat="1" ht="11.25" customHeight="1">
      <c r="A48" s="3" t="s">
        <v>301</v>
      </c>
      <c r="C48" s="16" t="s">
        <v>167</v>
      </c>
      <c r="E48" s="16">
        <v>50948</v>
      </c>
      <c r="G48" s="3">
        <v>8059075</v>
      </c>
      <c r="H48" s="3"/>
      <c r="I48" s="3">
        <v>241244</v>
      </c>
      <c r="J48" s="3"/>
      <c r="K48" s="8">
        <f t="shared" si="3"/>
        <v>9617957</v>
      </c>
      <c r="L48" s="3"/>
      <c r="M48" s="3">
        <v>17918276</v>
      </c>
      <c r="N48" s="3"/>
      <c r="O48" s="8">
        <f t="shared" si="2"/>
        <v>1614409</v>
      </c>
      <c r="P48" s="3"/>
      <c r="Q48" s="3">
        <v>8034575</v>
      </c>
      <c r="R48" s="3"/>
      <c r="S48" s="3">
        <v>9648984</v>
      </c>
      <c r="T48" s="3"/>
      <c r="U48" s="3">
        <v>0</v>
      </c>
      <c r="V48" s="3"/>
      <c r="W48" s="3">
        <f>757943+1373142+241244</f>
        <v>2372329</v>
      </c>
      <c r="X48" s="3"/>
      <c r="Y48" s="3">
        <v>0</v>
      </c>
      <c r="Z48" s="3"/>
      <c r="AA48" s="3">
        <f>5382891-14812+528884</f>
        <v>5896963</v>
      </c>
      <c r="AB48" s="3"/>
      <c r="AC48" s="22">
        <f t="shared" si="4"/>
        <v>8269292</v>
      </c>
      <c r="AD48" s="3"/>
      <c r="AE48" s="3">
        <f t="shared" si="5"/>
        <v>0</v>
      </c>
    </row>
    <row r="49" spans="1:31" s="16" customFormat="1" ht="12">
      <c r="A49" s="3" t="s">
        <v>302</v>
      </c>
      <c r="C49" s="16" t="s">
        <v>223</v>
      </c>
      <c r="E49" s="16">
        <v>63495</v>
      </c>
      <c r="G49" s="3">
        <f>13097708+25558</f>
        <v>13123266</v>
      </c>
      <c r="H49" s="3"/>
      <c r="I49" s="3">
        <v>38707</v>
      </c>
      <c r="J49" s="3"/>
      <c r="K49" s="8">
        <f t="shared" si="3"/>
        <v>3166615</v>
      </c>
      <c r="L49" s="3"/>
      <c r="M49" s="3">
        <v>16328588</v>
      </c>
      <c r="N49" s="3"/>
      <c r="O49" s="8">
        <f t="shared" si="2"/>
        <v>1172379</v>
      </c>
      <c r="P49" s="3"/>
      <c r="Q49" s="3">
        <v>2755875</v>
      </c>
      <c r="R49" s="3"/>
      <c r="S49" s="3">
        <v>3928254</v>
      </c>
      <c r="T49" s="3"/>
      <c r="U49" s="3">
        <v>0</v>
      </c>
      <c r="V49" s="3"/>
      <c r="W49" s="3">
        <f>152274+306976+38707</f>
        <v>497957</v>
      </c>
      <c r="X49" s="3"/>
      <c r="Y49" s="3">
        <v>146413</v>
      </c>
      <c r="Z49" s="3"/>
      <c r="AA49" s="3">
        <f>9386883+1618753+750328</f>
        <v>11755964</v>
      </c>
      <c r="AB49" s="3"/>
      <c r="AC49" s="22">
        <f t="shared" si="4"/>
        <v>12400334</v>
      </c>
      <c r="AD49" s="3"/>
      <c r="AE49" s="3">
        <f t="shared" si="5"/>
        <v>0</v>
      </c>
    </row>
    <row r="50" spans="1:31" s="16" customFormat="1" ht="12">
      <c r="A50" s="3" t="s">
        <v>303</v>
      </c>
      <c r="C50" s="16" t="s">
        <v>217</v>
      </c>
      <c r="E50" s="16">
        <v>51490</v>
      </c>
      <c r="G50" s="3">
        <v>5075667</v>
      </c>
      <c r="H50" s="3"/>
      <c r="I50" s="3">
        <v>995900</v>
      </c>
      <c r="J50" s="3"/>
      <c r="K50" s="8">
        <f t="shared" si="3"/>
        <v>3442066</v>
      </c>
      <c r="L50" s="3"/>
      <c r="M50" s="3">
        <v>9513633</v>
      </c>
      <c r="N50" s="3"/>
      <c r="O50" s="8">
        <f t="shared" si="2"/>
        <v>1195146</v>
      </c>
      <c r="P50" s="3"/>
      <c r="Q50" s="3">
        <v>2499190</v>
      </c>
      <c r="R50" s="3"/>
      <c r="S50" s="3">
        <v>3694336</v>
      </c>
      <c r="T50" s="3"/>
      <c r="U50" s="3">
        <v>0</v>
      </c>
      <c r="V50" s="3"/>
      <c r="W50" s="3">
        <f>230347+205072</f>
        <v>435419</v>
      </c>
      <c r="X50" s="3"/>
      <c r="Y50" s="3">
        <v>0</v>
      </c>
      <c r="Z50" s="3"/>
      <c r="AA50" s="3">
        <f>5819297-435419</f>
        <v>5383878</v>
      </c>
      <c r="AB50" s="3"/>
      <c r="AC50" s="22">
        <f t="shared" si="4"/>
        <v>5819297</v>
      </c>
      <c r="AD50" s="3"/>
      <c r="AE50" s="3">
        <f t="shared" si="5"/>
        <v>0</v>
      </c>
    </row>
    <row r="51" spans="1:31" s="16" customFormat="1" ht="12">
      <c r="A51" s="3" t="s">
        <v>238</v>
      </c>
      <c r="C51" s="16" t="s">
        <v>158</v>
      </c>
      <c r="E51" s="16">
        <v>50799</v>
      </c>
      <c r="G51" s="3">
        <v>8174387</v>
      </c>
      <c r="H51" s="3"/>
      <c r="I51" s="3">
        <v>20297</v>
      </c>
      <c r="J51" s="3"/>
      <c r="K51" s="8">
        <f t="shared" si="3"/>
        <v>2995307</v>
      </c>
      <c r="L51" s="3"/>
      <c r="M51" s="3">
        <v>11189991</v>
      </c>
      <c r="N51" s="3"/>
      <c r="O51" s="8">
        <f t="shared" si="2"/>
        <v>880691</v>
      </c>
      <c r="P51" s="3"/>
      <c r="Q51" s="3">
        <v>2213005</v>
      </c>
      <c r="R51" s="3"/>
      <c r="S51" s="3">
        <v>3093696</v>
      </c>
      <c r="T51" s="3"/>
      <c r="U51" s="3">
        <v>0</v>
      </c>
      <c r="V51" s="3"/>
      <c r="W51" s="3">
        <f>121698+260000+388075+20297</f>
        <v>790070</v>
      </c>
      <c r="X51" s="3"/>
      <c r="Y51" s="3">
        <v>0</v>
      </c>
      <c r="Z51" s="3"/>
      <c r="AA51" s="3">
        <f>2328656+2034643+2942926</f>
        <v>7306225</v>
      </c>
      <c r="AB51" s="3"/>
      <c r="AC51" s="22">
        <f t="shared" si="4"/>
        <v>8096295</v>
      </c>
      <c r="AD51" s="3"/>
      <c r="AE51" s="3">
        <f t="shared" si="5"/>
        <v>0</v>
      </c>
    </row>
    <row r="52" spans="1:31" s="16" customFormat="1" ht="12">
      <c r="A52" s="3" t="s">
        <v>336</v>
      </c>
      <c r="C52" s="16" t="s">
        <v>161</v>
      </c>
      <c r="E52" s="16">
        <v>51532</v>
      </c>
      <c r="G52" s="3">
        <v>7234572</v>
      </c>
      <c r="H52" s="3"/>
      <c r="I52" s="3">
        <v>0</v>
      </c>
      <c r="J52" s="3"/>
      <c r="K52" s="8">
        <f t="shared" si="3"/>
        <v>5855320</v>
      </c>
      <c r="L52" s="3"/>
      <c r="M52" s="3">
        <v>13089892</v>
      </c>
      <c r="N52" s="3"/>
      <c r="O52" s="8">
        <f t="shared" si="2"/>
        <v>998629</v>
      </c>
      <c r="P52" s="3"/>
      <c r="Q52" s="3">
        <v>4387900</v>
      </c>
      <c r="R52" s="3"/>
      <c r="S52" s="3">
        <v>5386529</v>
      </c>
      <c r="T52" s="3"/>
      <c r="U52" s="3">
        <v>0</v>
      </c>
      <c r="V52" s="3"/>
      <c r="W52" s="3">
        <f>392351+77885+1266825</f>
        <v>1737061</v>
      </c>
      <c r="X52" s="3"/>
      <c r="Y52" s="3">
        <v>0</v>
      </c>
      <c r="Z52" s="3"/>
      <c r="AA52" s="3">
        <f>5806535+5218+154549</f>
        <v>5966302</v>
      </c>
      <c r="AB52" s="3"/>
      <c r="AC52" s="22">
        <f t="shared" si="4"/>
        <v>7703363</v>
      </c>
      <c r="AD52" s="3"/>
      <c r="AE52" s="3">
        <f t="shared" si="5"/>
        <v>0</v>
      </c>
    </row>
    <row r="53" spans="1:31" s="16" customFormat="1" ht="12">
      <c r="A53" s="3" t="s">
        <v>255</v>
      </c>
      <c r="C53" s="16" t="s">
        <v>221</v>
      </c>
      <c r="E53" s="16">
        <v>62026</v>
      </c>
      <c r="G53" s="3">
        <v>10366133</v>
      </c>
      <c r="H53" s="3"/>
      <c r="I53" s="3">
        <v>0</v>
      </c>
      <c r="J53" s="3"/>
      <c r="K53" s="8">
        <f t="shared" si="3"/>
        <v>2492070</v>
      </c>
      <c r="L53" s="3"/>
      <c r="M53" s="3">
        <v>12858203</v>
      </c>
      <c r="N53" s="3"/>
      <c r="O53" s="8">
        <f t="shared" si="2"/>
        <v>3085152</v>
      </c>
      <c r="P53" s="3"/>
      <c r="Q53" s="3">
        <v>155965</v>
      </c>
      <c r="R53" s="3"/>
      <c r="S53" s="3">
        <v>3241117</v>
      </c>
      <c r="T53" s="3"/>
      <c r="U53" s="3">
        <v>0</v>
      </c>
      <c r="V53" s="3"/>
      <c r="W53" s="3">
        <f>9617086-9240618</f>
        <v>376468</v>
      </c>
      <c r="X53" s="3"/>
      <c r="Y53" s="3">
        <v>0</v>
      </c>
      <c r="Z53" s="3"/>
      <c r="AA53" s="3">
        <f>9158120+82498</f>
        <v>9240618</v>
      </c>
      <c r="AB53" s="3"/>
      <c r="AC53" s="22">
        <f t="shared" si="4"/>
        <v>9617086</v>
      </c>
      <c r="AD53" s="3"/>
      <c r="AE53" s="3">
        <f t="shared" si="5"/>
        <v>0</v>
      </c>
    </row>
    <row r="54" spans="1:31" s="16" customFormat="1" ht="12">
      <c r="A54" s="3" t="s">
        <v>341</v>
      </c>
      <c r="C54" s="16" t="s">
        <v>248</v>
      </c>
      <c r="G54" s="3">
        <v>5740493</v>
      </c>
      <c r="H54" s="3"/>
      <c r="I54" s="3">
        <v>0</v>
      </c>
      <c r="J54" s="3"/>
      <c r="K54" s="8">
        <f t="shared" si="3"/>
        <v>8549576</v>
      </c>
      <c r="L54" s="3"/>
      <c r="M54" s="3">
        <v>14290069</v>
      </c>
      <c r="N54" s="3"/>
      <c r="O54" s="8">
        <f t="shared" si="2"/>
        <v>1346318</v>
      </c>
      <c r="P54" s="3"/>
      <c r="Q54" s="3">
        <v>5281455</v>
      </c>
      <c r="R54" s="3"/>
      <c r="S54" s="3">
        <v>6627773</v>
      </c>
      <c r="T54" s="3"/>
      <c r="U54" s="3">
        <v>0</v>
      </c>
      <c r="V54" s="3"/>
      <c r="W54" s="3">
        <f>113288+86526+2886515</f>
        <v>3086329</v>
      </c>
      <c r="X54" s="3"/>
      <c r="Y54" s="3">
        <v>0</v>
      </c>
      <c r="Z54" s="3"/>
      <c r="AA54" s="3">
        <f>4467060+20655+88252</f>
        <v>4575967</v>
      </c>
      <c r="AB54" s="3"/>
      <c r="AC54" s="22">
        <f t="shared" si="4"/>
        <v>7662296</v>
      </c>
      <c r="AD54" s="3"/>
      <c r="AE54" s="3">
        <f t="shared" si="5"/>
        <v>0</v>
      </c>
    </row>
    <row r="55" spans="1:31" s="16" customFormat="1" ht="12">
      <c r="A55" s="3" t="s">
        <v>388</v>
      </c>
      <c r="C55" s="16" t="s">
        <v>153</v>
      </c>
      <c r="E55" s="16">
        <v>51607</v>
      </c>
      <c r="G55" s="3">
        <v>2866384</v>
      </c>
      <c r="H55" s="3"/>
      <c r="I55" s="3">
        <v>0</v>
      </c>
      <c r="J55" s="3"/>
      <c r="K55" s="8">
        <f t="shared" si="3"/>
        <v>3886124</v>
      </c>
      <c r="L55" s="3"/>
      <c r="M55" s="3">
        <v>6752508</v>
      </c>
      <c r="N55" s="3"/>
      <c r="O55" s="8">
        <f t="shared" si="2"/>
        <v>751160</v>
      </c>
      <c r="P55" s="3"/>
      <c r="Q55" s="3">
        <v>3352189</v>
      </c>
      <c r="R55" s="3"/>
      <c r="S55" s="3">
        <v>4103349</v>
      </c>
      <c r="T55" s="3"/>
      <c r="U55" s="3">
        <v>0</v>
      </c>
      <c r="V55" s="3"/>
      <c r="W55" s="3">
        <f>125270+379733+44235</f>
        <v>549238</v>
      </c>
      <c r="X55" s="3"/>
      <c r="Y55" s="3">
        <v>0</v>
      </c>
      <c r="Z55" s="3"/>
      <c r="AA55" s="3">
        <f>1692070+53240+354611</f>
        <v>2099921</v>
      </c>
      <c r="AB55" s="3"/>
      <c r="AC55" s="22">
        <f t="shared" si="4"/>
        <v>2649159</v>
      </c>
      <c r="AD55" s="3"/>
      <c r="AE55" s="3">
        <f t="shared" si="5"/>
        <v>0</v>
      </c>
    </row>
    <row r="56" spans="1:31" s="16" customFormat="1" ht="12">
      <c r="A56" s="3" t="s">
        <v>250</v>
      </c>
      <c r="C56" s="16" t="s">
        <v>251</v>
      </c>
      <c r="E56" s="16">
        <v>65268</v>
      </c>
      <c r="G56" s="3">
        <v>2754927</v>
      </c>
      <c r="H56" s="3"/>
      <c r="I56" s="3">
        <v>0</v>
      </c>
      <c r="J56" s="3"/>
      <c r="K56" s="8">
        <f t="shared" si="3"/>
        <v>4234563</v>
      </c>
      <c r="L56" s="3"/>
      <c r="M56" s="3">
        <v>6989490</v>
      </c>
      <c r="N56" s="3"/>
      <c r="O56" s="8">
        <f t="shared" si="2"/>
        <v>865815</v>
      </c>
      <c r="P56" s="3"/>
      <c r="Q56" s="3">
        <v>2886266</v>
      </c>
      <c r="R56" s="3"/>
      <c r="S56" s="3">
        <v>3752081</v>
      </c>
      <c r="T56" s="3"/>
      <c r="U56" s="3">
        <v>0</v>
      </c>
      <c r="V56" s="3"/>
      <c r="W56" s="3">
        <f>50938+32392+103867</f>
        <v>187197</v>
      </c>
      <c r="X56" s="3"/>
      <c r="Y56" s="3">
        <v>0</v>
      </c>
      <c r="Z56" s="3"/>
      <c r="AA56" s="3">
        <v>3050212</v>
      </c>
      <c r="AB56" s="3"/>
      <c r="AC56" s="22">
        <f t="shared" si="4"/>
        <v>3237409</v>
      </c>
      <c r="AD56" s="3"/>
      <c r="AE56" s="3">
        <f t="shared" si="5"/>
        <v>0</v>
      </c>
    </row>
    <row r="57" spans="1:31" s="16" customFormat="1" ht="12">
      <c r="A57" s="3" t="s">
        <v>304</v>
      </c>
      <c r="C57" s="16" t="s">
        <v>225</v>
      </c>
      <c r="E57" s="16">
        <v>51631</v>
      </c>
      <c r="G57" s="3">
        <v>11199517</v>
      </c>
      <c r="H57" s="3"/>
      <c r="I57" s="3">
        <v>0</v>
      </c>
      <c r="J57" s="3"/>
      <c r="K57" s="8">
        <f t="shared" si="3"/>
        <v>6694507</v>
      </c>
      <c r="L57" s="3"/>
      <c r="M57" s="3">
        <v>17894024</v>
      </c>
      <c r="N57" s="3"/>
      <c r="O57" s="8">
        <f t="shared" si="2"/>
        <v>6651418</v>
      </c>
      <c r="P57" s="3"/>
      <c r="Q57" s="3">
        <v>1480936</v>
      </c>
      <c r="R57" s="3"/>
      <c r="S57" s="3">
        <v>8132354</v>
      </c>
      <c r="T57" s="3"/>
      <c r="U57" s="3">
        <v>0</v>
      </c>
      <c r="V57" s="3"/>
      <c r="W57" s="3">
        <f>84899+9223+29809+87442</f>
        <v>211373</v>
      </c>
      <c r="X57" s="3"/>
      <c r="Y57" s="3">
        <v>0</v>
      </c>
      <c r="Z57" s="3"/>
      <c r="AA57" s="3">
        <f>8768383+60356+721558</f>
        <v>9550297</v>
      </c>
      <c r="AB57" s="3"/>
      <c r="AC57" s="22">
        <f t="shared" si="4"/>
        <v>9761670</v>
      </c>
      <c r="AD57" s="3"/>
      <c r="AE57" s="3">
        <f t="shared" si="5"/>
        <v>0</v>
      </c>
    </row>
    <row r="58" spans="1:31" s="16" customFormat="1" ht="12">
      <c r="A58" s="3" t="s">
        <v>239</v>
      </c>
      <c r="C58" s="16" t="s">
        <v>163</v>
      </c>
      <c r="E58" s="16">
        <v>62802</v>
      </c>
      <c r="G58" s="3">
        <f>8954822+27819</f>
        <v>8982641</v>
      </c>
      <c r="H58" s="3"/>
      <c r="I58" s="3">
        <v>24056</v>
      </c>
      <c r="J58" s="3"/>
      <c r="K58" s="8">
        <f t="shared" si="3"/>
        <v>3413662</v>
      </c>
      <c r="L58" s="3"/>
      <c r="M58" s="3">
        <v>12420359</v>
      </c>
      <c r="N58" s="3"/>
      <c r="O58" s="8">
        <f t="shared" si="2"/>
        <v>598506</v>
      </c>
      <c r="P58" s="3"/>
      <c r="Q58" s="3">
        <v>3187975</v>
      </c>
      <c r="R58" s="3"/>
      <c r="S58" s="3">
        <v>3786481</v>
      </c>
      <c r="T58" s="3"/>
      <c r="U58" s="3">
        <v>0</v>
      </c>
      <c r="V58" s="3"/>
      <c r="W58" s="3">
        <f>50045+2887+222800+24056</f>
        <v>299788</v>
      </c>
      <c r="X58" s="3"/>
      <c r="Y58" s="3">
        <v>0</v>
      </c>
      <c r="Z58" s="3"/>
      <c r="AA58" s="3">
        <f>7454901+361233+37066+480890</f>
        <v>8334090</v>
      </c>
      <c r="AB58" s="3"/>
      <c r="AC58" s="22">
        <f t="shared" si="4"/>
        <v>8633878</v>
      </c>
      <c r="AD58" s="3"/>
      <c r="AE58" s="3">
        <f t="shared" si="5"/>
        <v>0</v>
      </c>
    </row>
    <row r="59" spans="1:31" s="16" customFormat="1" ht="12">
      <c r="A59" s="3" t="s">
        <v>253</v>
      </c>
      <c r="C59" s="16" t="s">
        <v>197</v>
      </c>
      <c r="E59" s="16">
        <v>62125</v>
      </c>
      <c r="G59" s="3">
        <v>15866756</v>
      </c>
      <c r="H59" s="3"/>
      <c r="I59" s="3">
        <v>36831</v>
      </c>
      <c r="J59" s="3"/>
      <c r="K59" s="8">
        <f t="shared" si="3"/>
        <v>23279796</v>
      </c>
      <c r="L59" s="3"/>
      <c r="M59" s="3">
        <v>39183383</v>
      </c>
      <c r="N59" s="3"/>
      <c r="O59" s="8">
        <f t="shared" si="2"/>
        <v>2196659</v>
      </c>
      <c r="P59" s="3"/>
      <c r="Q59" s="3">
        <v>22226777</v>
      </c>
      <c r="R59" s="3"/>
      <c r="S59" s="3">
        <v>24423436</v>
      </c>
      <c r="T59" s="3"/>
      <c r="U59" s="3">
        <v>0</v>
      </c>
      <c r="V59" s="3"/>
      <c r="W59" s="3">
        <f>2449476+560985+35707+1124+161213</f>
        <v>3208505</v>
      </c>
      <c r="X59" s="3"/>
      <c r="Y59" s="3">
        <v>0</v>
      </c>
      <c r="Z59" s="3"/>
      <c r="AA59" s="3">
        <f>2383458+515286+535863+8116835</f>
        <v>11551442</v>
      </c>
      <c r="AB59" s="3"/>
      <c r="AC59" s="22">
        <f t="shared" si="4"/>
        <v>14759947</v>
      </c>
      <c r="AD59" s="3"/>
      <c r="AE59" s="3">
        <f t="shared" si="5"/>
        <v>0</v>
      </c>
    </row>
    <row r="60" spans="1:31" s="16" customFormat="1" ht="12">
      <c r="A60" s="3" t="s">
        <v>305</v>
      </c>
      <c r="C60" s="16" t="s">
        <v>216</v>
      </c>
      <c r="E60" s="16">
        <v>51458</v>
      </c>
      <c r="G60" s="3">
        <f>23379523+431</f>
        <v>23379954</v>
      </c>
      <c r="H60" s="3"/>
      <c r="I60" s="3">
        <v>55852</v>
      </c>
      <c r="J60" s="3"/>
      <c r="K60" s="8">
        <f t="shared" si="3"/>
        <v>22850185</v>
      </c>
      <c r="L60" s="3"/>
      <c r="M60" s="3">
        <v>46285991</v>
      </c>
      <c r="N60" s="3"/>
      <c r="O60" s="8">
        <f t="shared" si="2"/>
        <v>1504809</v>
      </c>
      <c r="P60" s="3"/>
      <c r="Q60" s="3">
        <v>21025272</v>
      </c>
      <c r="R60" s="3"/>
      <c r="S60" s="3">
        <v>22530081</v>
      </c>
      <c r="T60" s="3"/>
      <c r="U60" s="3">
        <v>0</v>
      </c>
      <c r="V60" s="3"/>
      <c r="W60" s="3">
        <f>1925084+1135859+55852</f>
        <v>3116795</v>
      </c>
      <c r="X60" s="3"/>
      <c r="Y60" s="3">
        <v>560058</v>
      </c>
      <c r="Z60" s="3"/>
      <c r="AA60" s="3">
        <f>3037803+577073+16464181</f>
        <v>20079057</v>
      </c>
      <c r="AB60" s="3"/>
      <c r="AC60" s="22">
        <f t="shared" si="4"/>
        <v>23755910</v>
      </c>
      <c r="AD60" s="3"/>
      <c r="AE60" s="3">
        <f t="shared" si="5"/>
        <v>0</v>
      </c>
    </row>
    <row r="61" spans="1:31" s="16" customFormat="1" ht="11.25" customHeight="1">
      <c r="A61" s="3" t="s">
        <v>306</v>
      </c>
      <c r="C61" s="16" t="s">
        <v>229</v>
      </c>
      <c r="E61" s="16">
        <v>51672</v>
      </c>
      <c r="G61" s="3">
        <f>11714772+9475757</f>
        <v>21190529</v>
      </c>
      <c r="H61" s="3"/>
      <c r="I61" s="3">
        <v>0</v>
      </c>
      <c r="J61" s="3"/>
      <c r="K61" s="8">
        <f t="shared" si="3"/>
        <v>19879831</v>
      </c>
      <c r="L61" s="3"/>
      <c r="M61" s="3">
        <v>41070360</v>
      </c>
      <c r="N61" s="3"/>
      <c r="O61" s="8">
        <f t="shared" si="2"/>
        <v>5122794</v>
      </c>
      <c r="P61" s="3"/>
      <c r="Q61" s="3">
        <v>15771430</v>
      </c>
      <c r="R61" s="3"/>
      <c r="S61" s="3">
        <v>20894224</v>
      </c>
      <c r="T61" s="3"/>
      <c r="U61" s="3">
        <v>0</v>
      </c>
      <c r="V61" s="3"/>
      <c r="W61" s="3">
        <f>239725+41361+270158+120000+581026</f>
        <v>1252270</v>
      </c>
      <c r="X61" s="3"/>
      <c r="Y61" s="3">
        <v>3462760</v>
      </c>
      <c r="Z61" s="3"/>
      <c r="AA61" s="3">
        <f>1910265+550960+12999881</f>
        <v>15461106</v>
      </c>
      <c r="AB61" s="3"/>
      <c r="AC61" s="22">
        <f t="shared" si="4"/>
        <v>20176136</v>
      </c>
      <c r="AD61" s="3"/>
      <c r="AE61" s="3">
        <f t="shared" si="5"/>
        <v>0</v>
      </c>
    </row>
    <row r="62" spans="1:31" s="16" customFormat="1" ht="12">
      <c r="A62" s="3" t="s">
        <v>257</v>
      </c>
      <c r="C62" s="16" t="s">
        <v>231</v>
      </c>
      <c r="E62" s="16">
        <v>51474</v>
      </c>
      <c r="G62" s="3">
        <f>12826216+157256</f>
        <v>12983472</v>
      </c>
      <c r="H62" s="3"/>
      <c r="I62" s="3">
        <v>0</v>
      </c>
      <c r="J62" s="3"/>
      <c r="K62" s="8">
        <f t="shared" si="3"/>
        <v>9036063</v>
      </c>
      <c r="L62" s="3"/>
      <c r="M62" s="3">
        <v>22019535</v>
      </c>
      <c r="N62" s="3"/>
      <c r="O62" s="8">
        <f t="shared" si="2"/>
        <v>1683368</v>
      </c>
      <c r="P62" s="3"/>
      <c r="Q62" s="3">
        <v>8475218</v>
      </c>
      <c r="R62" s="3"/>
      <c r="S62" s="3">
        <v>10158586</v>
      </c>
      <c r="T62" s="3"/>
      <c r="U62" s="3">
        <v>0</v>
      </c>
      <c r="V62" s="3"/>
      <c r="W62" s="3">
        <f>101405+433688+1471838</f>
        <v>2006931</v>
      </c>
      <c r="X62" s="3"/>
      <c r="Y62" s="3">
        <v>0</v>
      </c>
      <c r="Z62" s="3"/>
      <c r="AA62" s="3">
        <v>9854018</v>
      </c>
      <c r="AB62" s="3"/>
      <c r="AC62" s="22">
        <f t="shared" si="4"/>
        <v>11860949</v>
      </c>
      <c r="AD62" s="3"/>
      <c r="AE62" s="3">
        <f t="shared" si="5"/>
        <v>0</v>
      </c>
    </row>
    <row r="63" spans="1:31" s="16" customFormat="1" ht="12">
      <c r="A63" s="3" t="s">
        <v>325</v>
      </c>
      <c r="C63" s="16" t="s">
        <v>232</v>
      </c>
      <c r="E63" s="16">
        <v>51698</v>
      </c>
      <c r="G63" s="3">
        <f>3006727+159</f>
        <v>3006886</v>
      </c>
      <c r="H63" s="3"/>
      <c r="I63" s="3">
        <f>117554+212292</f>
        <v>329846</v>
      </c>
      <c r="J63" s="3"/>
      <c r="K63" s="8">
        <f t="shared" si="3"/>
        <v>2280029</v>
      </c>
      <c r="L63" s="3"/>
      <c r="M63" s="3">
        <v>5616761</v>
      </c>
      <c r="N63" s="3"/>
      <c r="O63" s="8">
        <f t="shared" si="2"/>
        <v>665513</v>
      </c>
      <c r="P63" s="3"/>
      <c r="Q63" s="3">
        <v>2016186</v>
      </c>
      <c r="R63" s="3"/>
      <c r="S63" s="3">
        <v>2681699</v>
      </c>
      <c r="T63" s="3"/>
      <c r="U63" s="3">
        <v>0</v>
      </c>
      <c r="V63" s="3"/>
      <c r="W63" s="3">
        <f>2935062-69251-2489964</f>
        <v>375847</v>
      </c>
      <c r="X63" s="3"/>
      <c r="Y63" s="3">
        <v>69251</v>
      </c>
      <c r="Z63" s="3"/>
      <c r="AA63" s="3">
        <f>2455044+33770+1150</f>
        <v>2489964</v>
      </c>
      <c r="AB63" s="3"/>
      <c r="AC63" s="22">
        <f t="shared" si="4"/>
        <v>2935062</v>
      </c>
      <c r="AD63" s="3"/>
      <c r="AE63" s="3">
        <f t="shared" si="5"/>
        <v>0</v>
      </c>
    </row>
    <row r="64" spans="1:31" s="16" customFormat="1" ht="12">
      <c r="A64" s="3" t="s">
        <v>307</v>
      </c>
      <c r="C64" s="16" t="s">
        <v>234</v>
      </c>
      <c r="E64" s="16">
        <v>51714</v>
      </c>
      <c r="G64" s="3">
        <f>12133015+7929588</f>
        <v>20062603</v>
      </c>
      <c r="H64" s="3"/>
      <c r="I64" s="3">
        <v>0</v>
      </c>
      <c r="J64" s="3"/>
      <c r="K64" s="8">
        <f t="shared" si="3"/>
        <v>10948056</v>
      </c>
      <c r="L64" s="3"/>
      <c r="M64" s="3">
        <v>31010659</v>
      </c>
      <c r="N64" s="3"/>
      <c r="O64" s="8">
        <f t="shared" si="2"/>
        <v>3450416</v>
      </c>
      <c r="P64" s="3"/>
      <c r="Q64" s="3">
        <v>10074668</v>
      </c>
      <c r="R64" s="3"/>
      <c r="S64" s="3">
        <v>13525084</v>
      </c>
      <c r="T64" s="3"/>
      <c r="U64" s="3">
        <v>0</v>
      </c>
      <c r="V64" s="3"/>
      <c r="W64" s="3">
        <f>10294021+389700</f>
        <v>10683721</v>
      </c>
      <c r="X64" s="3"/>
      <c r="Y64" s="3">
        <v>0</v>
      </c>
      <c r="Z64" s="3"/>
      <c r="AA64" s="3">
        <f>3741392+1654632+1405830</f>
        <v>6801854</v>
      </c>
      <c r="AB64" s="3"/>
      <c r="AC64" s="22">
        <f t="shared" si="4"/>
        <v>17485575</v>
      </c>
      <c r="AD64" s="3"/>
      <c r="AE64" s="3">
        <f t="shared" si="5"/>
        <v>0</v>
      </c>
    </row>
    <row r="65" spans="1:36" s="16" customFormat="1" ht="12">
      <c r="A65" s="3"/>
      <c r="G65" s="3"/>
      <c r="H65" s="3"/>
      <c r="I65" s="3"/>
      <c r="J65" s="3"/>
      <c r="K65" s="8"/>
      <c r="L65" s="3"/>
      <c r="M65" s="3"/>
      <c r="N65" s="3"/>
      <c r="O65" s="8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22"/>
      <c r="AD65" s="3"/>
      <c r="AE65" s="3"/>
    </row>
    <row r="66" spans="1:36" s="16" customFormat="1" ht="12">
      <c r="A66" s="3"/>
      <c r="G66" s="3"/>
      <c r="H66" s="3"/>
      <c r="I66" s="3"/>
      <c r="J66" s="3"/>
      <c r="K66" s="8"/>
      <c r="L66" s="3"/>
      <c r="M66" s="3"/>
      <c r="N66" s="3"/>
      <c r="O66" s="8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2" t="s">
        <v>310</v>
      </c>
      <c r="AD66" s="3"/>
      <c r="AE66" s="3"/>
    </row>
    <row r="67" spans="1:36" s="16" customFormat="1" ht="12">
      <c r="A67" s="44" t="s">
        <v>309</v>
      </c>
      <c r="C67" s="3"/>
      <c r="G67" s="3"/>
      <c r="H67" s="3"/>
      <c r="I67" s="3"/>
      <c r="J67" s="3"/>
      <c r="K67" s="3"/>
      <c r="L67" s="3"/>
      <c r="M67" s="3"/>
      <c r="N67" s="3"/>
      <c r="O67" s="8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22"/>
      <c r="AD67" s="3"/>
      <c r="AE67" s="3"/>
    </row>
    <row r="68" spans="1:36" s="16" customFormat="1" ht="12">
      <c r="A68" s="44"/>
      <c r="C68" s="3"/>
      <c r="G68" s="3"/>
      <c r="H68" s="3"/>
      <c r="I68" s="3"/>
      <c r="J68" s="3"/>
      <c r="K68" s="3"/>
      <c r="L68" s="3"/>
      <c r="M68" s="3"/>
      <c r="N68" s="3"/>
      <c r="O68" s="8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22"/>
      <c r="AD68" s="3"/>
      <c r="AE68" s="3"/>
    </row>
    <row r="69" spans="1:36" s="16" customFormat="1" ht="12.75" hidden="1" customHeight="1">
      <c r="A69" s="3" t="s">
        <v>345</v>
      </c>
      <c r="B69" s="3"/>
      <c r="C69" s="3" t="s">
        <v>321</v>
      </c>
      <c r="E69" s="16">
        <v>45849</v>
      </c>
      <c r="G69" s="3"/>
      <c r="H69" s="3"/>
      <c r="I69" s="3"/>
      <c r="J69" s="3"/>
      <c r="K69" s="8">
        <f>+M69-I69-G69</f>
        <v>0</v>
      </c>
      <c r="L69" s="3"/>
      <c r="M69" s="3"/>
      <c r="N69" s="3"/>
      <c r="O69" s="8">
        <f t="shared" si="2"/>
        <v>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22">
        <f t="shared" ref="AC69:AC107" si="6">+AA69+Y69+U69+W69</f>
        <v>0</v>
      </c>
      <c r="AD69" s="3"/>
      <c r="AE69" s="34">
        <f t="shared" ref="AE69:AE101" si="7">+G69+I69+K69-O69-Q69-AA69-Y69-U69-W69</f>
        <v>0</v>
      </c>
    </row>
    <row r="70" spans="1:36" s="16" customFormat="1" hidden="1">
      <c r="A70" s="3" t="s">
        <v>346</v>
      </c>
      <c r="B70" s="3"/>
      <c r="C70" s="3" t="s">
        <v>152</v>
      </c>
      <c r="G70" s="3"/>
      <c r="H70" s="3"/>
      <c r="I70" s="3"/>
      <c r="J70" s="3"/>
      <c r="K70" s="8">
        <f>+M70-I70-G70</f>
        <v>0</v>
      </c>
      <c r="L70" s="3"/>
      <c r="M70" s="3"/>
      <c r="N70" s="3"/>
      <c r="O70" s="22">
        <f t="shared" si="2"/>
        <v>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22">
        <f t="shared" si="6"/>
        <v>0</v>
      </c>
      <c r="AE70" s="3">
        <f t="shared" si="7"/>
        <v>0</v>
      </c>
      <c r="AF70" s="18"/>
      <c r="AG70" s="18"/>
      <c r="AH70" s="18"/>
      <c r="AI70" s="18"/>
      <c r="AJ70" s="18"/>
    </row>
    <row r="71" spans="1:36" s="16" customFormat="1">
      <c r="A71" s="3" t="s">
        <v>156</v>
      </c>
      <c r="B71" s="3"/>
      <c r="C71" s="3" t="s">
        <v>153</v>
      </c>
      <c r="E71" s="16">
        <v>135145</v>
      </c>
      <c r="G71" s="34">
        <v>1037308</v>
      </c>
      <c r="H71" s="34"/>
      <c r="I71" s="34">
        <v>0</v>
      </c>
      <c r="J71" s="34"/>
      <c r="K71" s="15">
        <f>+M71-I71-G71</f>
        <v>386016</v>
      </c>
      <c r="L71" s="34"/>
      <c r="M71" s="34">
        <v>1423324</v>
      </c>
      <c r="N71" s="34"/>
      <c r="O71" s="54">
        <f t="shared" si="2"/>
        <v>1032303</v>
      </c>
      <c r="P71" s="34"/>
      <c r="Q71" s="34">
        <v>56870</v>
      </c>
      <c r="R71" s="34"/>
      <c r="S71" s="34">
        <v>1089173</v>
      </c>
      <c r="T71" s="34"/>
      <c r="U71" s="34"/>
      <c r="V71" s="34"/>
      <c r="W71" s="34">
        <v>292399</v>
      </c>
      <c r="X71" s="34"/>
      <c r="Y71" s="34">
        <v>0</v>
      </c>
      <c r="Z71" s="34"/>
      <c r="AA71" s="34">
        <f>352617-310865</f>
        <v>41752</v>
      </c>
      <c r="AB71" s="34"/>
      <c r="AC71" s="54">
        <f t="shared" si="6"/>
        <v>334151</v>
      </c>
      <c r="AE71" s="3">
        <f t="shared" si="7"/>
        <v>0</v>
      </c>
      <c r="AF71" s="18"/>
      <c r="AG71" s="18"/>
      <c r="AH71" s="18"/>
      <c r="AI71" s="18"/>
      <c r="AJ71" s="18"/>
    </row>
    <row r="72" spans="1:36" s="16" customFormat="1" hidden="1">
      <c r="A72" s="3" t="s">
        <v>362</v>
      </c>
      <c r="B72" s="3"/>
      <c r="C72" s="3" t="s">
        <v>322</v>
      </c>
      <c r="G72" s="3"/>
      <c r="H72" s="3"/>
      <c r="I72" s="3"/>
      <c r="J72" s="3"/>
      <c r="K72" s="8">
        <f>+M72-I72-G72</f>
        <v>0</v>
      </c>
      <c r="L72" s="3"/>
      <c r="M72" s="3"/>
      <c r="N72" s="3"/>
      <c r="O72" s="22">
        <f t="shared" si="2"/>
        <v>0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22">
        <f t="shared" si="6"/>
        <v>0</v>
      </c>
      <c r="AE72" s="3">
        <f t="shared" si="7"/>
        <v>0</v>
      </c>
      <c r="AF72" s="18"/>
      <c r="AG72" s="18"/>
      <c r="AH72" s="18"/>
      <c r="AI72" s="18"/>
      <c r="AJ72" s="18"/>
    </row>
    <row r="73" spans="1:36">
      <c r="A73" s="16" t="s">
        <v>365</v>
      </c>
      <c r="B73" s="16"/>
      <c r="C73" s="16" t="s">
        <v>158</v>
      </c>
      <c r="E73" s="16">
        <v>46029</v>
      </c>
      <c r="G73" s="3">
        <v>2145040</v>
      </c>
      <c r="H73" s="3"/>
      <c r="I73" s="3">
        <v>0</v>
      </c>
      <c r="J73" s="3"/>
      <c r="K73" s="8">
        <f>+M73-I73-G73</f>
        <v>302355</v>
      </c>
      <c r="L73" s="3"/>
      <c r="M73" s="3">
        <v>2447395</v>
      </c>
      <c r="N73" s="3"/>
      <c r="O73" s="22">
        <f t="shared" si="2"/>
        <v>496316</v>
      </c>
      <c r="P73" s="3"/>
      <c r="Q73" s="3">
        <v>9717</v>
      </c>
      <c r="R73" s="3"/>
      <c r="S73" s="3">
        <v>506033</v>
      </c>
      <c r="T73" s="3"/>
      <c r="U73" s="3"/>
      <c r="V73" s="3"/>
      <c r="W73" s="3">
        <v>126775</v>
      </c>
      <c r="X73" s="3"/>
      <c r="Y73" s="3">
        <v>0</v>
      </c>
      <c r="Z73" s="3"/>
      <c r="AA73" s="3">
        <f>1851930-37343</f>
        <v>1814587</v>
      </c>
      <c r="AB73" s="3"/>
      <c r="AC73" s="22">
        <f t="shared" si="6"/>
        <v>1941362</v>
      </c>
      <c r="AD73" s="16"/>
      <c r="AE73" s="3">
        <f t="shared" si="7"/>
        <v>0</v>
      </c>
    </row>
    <row r="74" spans="1:36" s="16" customFormat="1" ht="12">
      <c r="A74" s="16" t="s">
        <v>364</v>
      </c>
      <c r="C74" s="16" t="s">
        <v>155</v>
      </c>
      <c r="E74" s="16">
        <v>46086</v>
      </c>
      <c r="G74" s="3">
        <v>1254637</v>
      </c>
      <c r="H74" s="3"/>
      <c r="I74" s="3">
        <v>1099678</v>
      </c>
      <c r="J74" s="3"/>
      <c r="K74" s="8">
        <f t="shared" ref="K74:K130" si="8">+M74-I74-G74</f>
        <v>4181046</v>
      </c>
      <c r="L74" s="3"/>
      <c r="M74" s="3">
        <v>6535361</v>
      </c>
      <c r="N74" s="3"/>
      <c r="O74" s="22">
        <f t="shared" si="2"/>
        <v>1863099</v>
      </c>
      <c r="P74" s="3"/>
      <c r="Q74" s="3">
        <v>2940381</v>
      </c>
      <c r="R74" s="3"/>
      <c r="S74" s="3">
        <v>4803480</v>
      </c>
      <c r="T74" s="3"/>
      <c r="U74" s="3"/>
      <c r="V74" s="3"/>
      <c r="W74" s="3">
        <v>418765</v>
      </c>
      <c r="X74" s="3"/>
      <c r="Y74" s="3">
        <v>0</v>
      </c>
      <c r="Z74" s="3"/>
      <c r="AA74" s="3">
        <f>910793+402323</f>
        <v>1313116</v>
      </c>
      <c r="AB74" s="3"/>
      <c r="AC74" s="22">
        <f t="shared" si="6"/>
        <v>1731881</v>
      </c>
      <c r="AE74" s="3">
        <f t="shared" si="7"/>
        <v>0</v>
      </c>
    </row>
    <row r="75" spans="1:36" s="16" customFormat="1" ht="12">
      <c r="A75" s="16" t="s">
        <v>366</v>
      </c>
      <c r="C75" s="16" t="s">
        <v>161</v>
      </c>
      <c r="E75" s="16">
        <v>46227</v>
      </c>
      <c r="G75" s="3">
        <v>1520053</v>
      </c>
      <c r="H75" s="3"/>
      <c r="I75" s="3">
        <v>392285</v>
      </c>
      <c r="J75" s="3"/>
      <c r="K75" s="8">
        <f t="shared" si="8"/>
        <v>581604</v>
      </c>
      <c r="L75" s="3"/>
      <c r="M75" s="3">
        <v>2493942</v>
      </c>
      <c r="N75" s="3"/>
      <c r="O75" s="22">
        <f t="shared" si="2"/>
        <v>945883</v>
      </c>
      <c r="P75" s="3"/>
      <c r="Q75" s="3">
        <v>175853</v>
      </c>
      <c r="R75" s="3"/>
      <c r="S75" s="3">
        <v>1121736</v>
      </c>
      <c r="T75" s="3"/>
      <c r="U75" s="3"/>
      <c r="V75" s="3"/>
      <c r="W75" s="3">
        <f>230864+392285</f>
        <v>623149</v>
      </c>
      <c r="X75" s="3"/>
      <c r="Y75" s="3">
        <v>325000</v>
      </c>
      <c r="Z75" s="3"/>
      <c r="AA75" s="3">
        <f>470808-46751</f>
        <v>424057</v>
      </c>
      <c r="AB75" s="3"/>
      <c r="AC75" s="22">
        <f t="shared" si="6"/>
        <v>1372206</v>
      </c>
      <c r="AE75" s="3">
        <f t="shared" si="7"/>
        <v>0</v>
      </c>
    </row>
    <row r="76" spans="1:36" s="16" customFormat="1" ht="12">
      <c r="A76" s="16" t="s">
        <v>162</v>
      </c>
      <c r="C76" s="16" t="s">
        <v>163</v>
      </c>
      <c r="E76" s="16">
        <v>46292</v>
      </c>
      <c r="G76" s="3">
        <v>5512641</v>
      </c>
      <c r="H76" s="3"/>
      <c r="I76" s="3">
        <v>0</v>
      </c>
      <c r="J76" s="3"/>
      <c r="K76" s="8">
        <f t="shared" si="8"/>
        <v>1283676</v>
      </c>
      <c r="L76" s="3"/>
      <c r="M76" s="3">
        <v>6796317</v>
      </c>
      <c r="N76" s="3"/>
      <c r="O76" s="22">
        <f t="shared" si="2"/>
        <v>2579696</v>
      </c>
      <c r="P76" s="3"/>
      <c r="Q76" s="3">
        <v>0</v>
      </c>
      <c r="R76" s="3"/>
      <c r="S76" s="3">
        <v>2579696</v>
      </c>
      <c r="T76" s="3"/>
      <c r="U76" s="3"/>
      <c r="V76" s="3"/>
      <c r="W76" s="3">
        <v>130098</v>
      </c>
      <c r="X76" s="3"/>
      <c r="Y76" s="3">
        <v>0</v>
      </c>
      <c r="Z76" s="3"/>
      <c r="AA76" s="3">
        <f>4082717+3806</f>
        <v>4086523</v>
      </c>
      <c r="AB76" s="3"/>
      <c r="AC76" s="22">
        <f t="shared" si="6"/>
        <v>4216621</v>
      </c>
      <c r="AE76" s="3">
        <f t="shared" si="7"/>
        <v>0</v>
      </c>
    </row>
    <row r="77" spans="1:36" s="16" customFormat="1" ht="12" hidden="1">
      <c r="A77" s="16" t="s">
        <v>343</v>
      </c>
      <c r="C77" s="16" t="s">
        <v>164</v>
      </c>
      <c r="E77" s="16">
        <v>46375</v>
      </c>
      <c r="G77" s="3"/>
      <c r="H77" s="3"/>
      <c r="I77" s="3"/>
      <c r="J77" s="3"/>
      <c r="K77" s="8">
        <f t="shared" si="8"/>
        <v>0</v>
      </c>
      <c r="L77" s="3"/>
      <c r="M77" s="3"/>
      <c r="N77" s="3"/>
      <c r="O77" s="22">
        <f t="shared" si="2"/>
        <v>0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22">
        <f t="shared" si="6"/>
        <v>0</v>
      </c>
      <c r="AE77" s="3">
        <f t="shared" si="7"/>
        <v>0</v>
      </c>
    </row>
    <row r="78" spans="1:36" s="16" customFormat="1" ht="12">
      <c r="A78" s="16" t="s">
        <v>367</v>
      </c>
      <c r="C78" s="16" t="s">
        <v>165</v>
      </c>
      <c r="E78" s="16">
        <v>46417</v>
      </c>
      <c r="G78" s="3">
        <v>632591</v>
      </c>
      <c r="H78" s="3"/>
      <c r="I78" s="3">
        <v>0</v>
      </c>
      <c r="J78" s="3"/>
      <c r="K78" s="8">
        <f t="shared" si="8"/>
        <v>739663</v>
      </c>
      <c r="L78" s="3"/>
      <c r="M78" s="3">
        <v>1372254</v>
      </c>
      <c r="N78" s="3"/>
      <c r="O78" s="22">
        <f t="shared" si="2"/>
        <v>1152657</v>
      </c>
      <c r="P78" s="3"/>
      <c r="Q78" s="3">
        <v>283309</v>
      </c>
      <c r="R78" s="3"/>
      <c r="S78" s="3">
        <v>1435966</v>
      </c>
      <c r="T78" s="3"/>
      <c r="U78" s="3"/>
      <c r="V78" s="3"/>
      <c r="W78" s="3">
        <f>191287+3102+16578</f>
        <v>210967</v>
      </c>
      <c r="X78" s="3"/>
      <c r="Y78" s="3">
        <v>0</v>
      </c>
      <c r="Z78" s="3"/>
      <c r="AA78" s="3">
        <f>-144424-130255</f>
        <v>-274679</v>
      </c>
      <c r="AB78" s="3"/>
      <c r="AC78" s="22">
        <f t="shared" si="6"/>
        <v>-63712</v>
      </c>
      <c r="AE78" s="3">
        <f t="shared" si="7"/>
        <v>0</v>
      </c>
    </row>
    <row r="79" spans="1:36" s="16" customFormat="1" ht="12">
      <c r="A79" s="16" t="s">
        <v>166</v>
      </c>
      <c r="C79" s="16" t="s">
        <v>167</v>
      </c>
      <c r="E79" s="16">
        <v>46532</v>
      </c>
      <c r="G79" s="3">
        <v>21913229</v>
      </c>
      <c r="H79" s="3"/>
      <c r="I79" s="3">
        <v>0</v>
      </c>
      <c r="J79" s="3"/>
      <c r="K79" s="8">
        <f t="shared" si="8"/>
        <v>15820953</v>
      </c>
      <c r="L79" s="3"/>
      <c r="M79" s="3">
        <v>37734182</v>
      </c>
      <c r="N79" s="3"/>
      <c r="O79" s="22">
        <f t="shared" si="2"/>
        <v>12966985</v>
      </c>
      <c r="P79" s="3"/>
      <c r="Q79" s="3">
        <v>2763691</v>
      </c>
      <c r="R79" s="3"/>
      <c r="S79" s="3">
        <v>15730676</v>
      </c>
      <c r="T79" s="3"/>
      <c r="U79" s="3"/>
      <c r="V79" s="3"/>
      <c r="W79" s="3">
        <v>2021962</v>
      </c>
      <c r="X79" s="3"/>
      <c r="Y79" s="3">
        <v>0</v>
      </c>
      <c r="Z79" s="3"/>
      <c r="AA79" s="3">
        <f>22889353-2907809</f>
        <v>19981544</v>
      </c>
      <c r="AB79" s="3"/>
      <c r="AC79" s="22">
        <f t="shared" si="6"/>
        <v>22003506</v>
      </c>
      <c r="AE79" s="3">
        <f t="shared" si="7"/>
        <v>0</v>
      </c>
    </row>
    <row r="80" spans="1:36" s="16" customFormat="1" ht="12" hidden="1">
      <c r="A80" s="16" t="s">
        <v>339</v>
      </c>
      <c r="C80" s="16" t="s">
        <v>169</v>
      </c>
      <c r="E80" s="16">
        <v>46615</v>
      </c>
      <c r="G80" s="3"/>
      <c r="H80" s="3"/>
      <c r="I80" s="3"/>
      <c r="J80" s="3"/>
      <c r="K80" s="8">
        <f t="shared" si="8"/>
        <v>0</v>
      </c>
      <c r="L80" s="3"/>
      <c r="M80" s="3"/>
      <c r="N80" s="3"/>
      <c r="O80" s="22">
        <f t="shared" si="2"/>
        <v>0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22">
        <f t="shared" si="6"/>
        <v>0</v>
      </c>
      <c r="AE80" s="3">
        <f t="shared" si="7"/>
        <v>0</v>
      </c>
    </row>
    <row r="81" spans="1:32" s="16" customFormat="1" ht="12" hidden="1">
      <c r="A81" s="3" t="s">
        <v>363</v>
      </c>
      <c r="C81" s="16" t="s">
        <v>171</v>
      </c>
      <c r="E81" s="16">
        <v>46730</v>
      </c>
      <c r="G81" s="3"/>
      <c r="H81" s="3"/>
      <c r="I81" s="3"/>
      <c r="J81" s="3"/>
      <c r="K81" s="8">
        <f t="shared" si="8"/>
        <v>0</v>
      </c>
      <c r="L81" s="3"/>
      <c r="M81" s="3"/>
      <c r="N81" s="3"/>
      <c r="O81" s="22">
        <f t="shared" ref="O81:O130" si="9">+S81-Q81</f>
        <v>0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22">
        <f t="shared" si="6"/>
        <v>0</v>
      </c>
      <c r="AE81" s="3">
        <f t="shared" si="7"/>
        <v>0</v>
      </c>
    </row>
    <row r="82" spans="1:32" s="16" customFormat="1" ht="12">
      <c r="A82" s="3" t="s">
        <v>384</v>
      </c>
      <c r="B82" s="3"/>
      <c r="C82" s="3" t="s">
        <v>227</v>
      </c>
      <c r="D82" s="3"/>
      <c r="E82" s="12">
        <v>50260</v>
      </c>
      <c r="G82" s="3">
        <v>1396711</v>
      </c>
      <c r="H82" s="3"/>
      <c r="I82" s="3">
        <v>0</v>
      </c>
      <c r="J82" s="3"/>
      <c r="K82" s="8">
        <f t="shared" ref="K82" si="10">+M82-I82-G82</f>
        <v>253164</v>
      </c>
      <c r="L82" s="3"/>
      <c r="M82" s="3">
        <v>1649875</v>
      </c>
      <c r="N82" s="3"/>
      <c r="O82" s="22">
        <f t="shared" ref="O82" si="11">+S82-Q82</f>
        <v>860186</v>
      </c>
      <c r="P82" s="3"/>
      <c r="Q82" s="3">
        <v>178174</v>
      </c>
      <c r="R82" s="3"/>
      <c r="S82" s="3">
        <v>1038360</v>
      </c>
      <c r="T82" s="3"/>
      <c r="U82" s="3">
        <v>0</v>
      </c>
      <c r="V82" s="3"/>
      <c r="W82" s="3">
        <v>23172</v>
      </c>
      <c r="X82" s="3"/>
      <c r="Y82" s="3">
        <v>0</v>
      </c>
      <c r="Z82" s="3"/>
      <c r="AA82" s="3">
        <v>588343</v>
      </c>
      <c r="AB82" s="3"/>
      <c r="AC82" s="22">
        <f t="shared" si="6"/>
        <v>611515</v>
      </c>
      <c r="AE82" s="3">
        <f t="shared" si="7"/>
        <v>0</v>
      </c>
    </row>
    <row r="83" spans="1:32" s="16" customFormat="1" ht="12" hidden="1">
      <c r="A83" s="16" t="s">
        <v>344</v>
      </c>
      <c r="C83" s="16" t="s">
        <v>172</v>
      </c>
      <c r="E83" s="16">
        <v>125690</v>
      </c>
      <c r="G83" s="3"/>
      <c r="H83" s="3"/>
      <c r="I83" s="3"/>
      <c r="J83" s="3"/>
      <c r="K83" s="8">
        <f t="shared" si="8"/>
        <v>0</v>
      </c>
      <c r="L83" s="3"/>
      <c r="M83" s="3"/>
      <c r="N83" s="3"/>
      <c r="O83" s="22">
        <f t="shared" si="9"/>
        <v>0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22">
        <f t="shared" si="6"/>
        <v>0</v>
      </c>
      <c r="AE83" s="3">
        <f t="shared" si="7"/>
        <v>0</v>
      </c>
    </row>
    <row r="84" spans="1:32" s="16" customFormat="1" ht="12">
      <c r="A84" s="16" t="s">
        <v>173</v>
      </c>
      <c r="C84" s="16" t="s">
        <v>174</v>
      </c>
      <c r="E84" s="16">
        <v>46839</v>
      </c>
      <c r="G84" s="3">
        <v>1694657</v>
      </c>
      <c r="H84" s="3"/>
      <c r="I84" s="3">
        <v>0</v>
      </c>
      <c r="J84" s="3"/>
      <c r="K84" s="8">
        <f t="shared" si="8"/>
        <v>468684</v>
      </c>
      <c r="L84" s="3"/>
      <c r="M84" s="3">
        <v>2163341</v>
      </c>
      <c r="N84" s="3"/>
      <c r="O84" s="22">
        <f t="shared" si="9"/>
        <v>1100250</v>
      </c>
      <c r="P84" s="3"/>
      <c r="Q84" s="3">
        <v>0</v>
      </c>
      <c r="R84" s="3"/>
      <c r="S84" s="3">
        <v>1100250</v>
      </c>
      <c r="T84" s="3"/>
      <c r="U84" s="3">
        <v>0</v>
      </c>
      <c r="V84" s="3"/>
      <c r="W84" s="3">
        <v>0</v>
      </c>
      <c r="X84" s="3"/>
      <c r="Y84" s="3">
        <v>0</v>
      </c>
      <c r="Z84" s="3"/>
      <c r="AA84" s="3">
        <v>1063091</v>
      </c>
      <c r="AB84" s="3"/>
      <c r="AC84" s="22">
        <f t="shared" si="6"/>
        <v>1063091</v>
      </c>
      <c r="AE84" s="3">
        <f t="shared" si="7"/>
        <v>0</v>
      </c>
    </row>
    <row r="85" spans="1:32" s="16" customFormat="1" ht="12">
      <c r="A85" s="3" t="s">
        <v>353</v>
      </c>
      <c r="C85" s="16" t="s">
        <v>175</v>
      </c>
      <c r="E85" s="16">
        <v>46938</v>
      </c>
      <c r="G85" s="3">
        <v>14255850</v>
      </c>
      <c r="H85" s="3"/>
      <c r="I85" s="3">
        <v>0</v>
      </c>
      <c r="J85" s="3"/>
      <c r="K85" s="8">
        <f t="shared" si="8"/>
        <v>11369405</v>
      </c>
      <c r="L85" s="3"/>
      <c r="M85" s="3">
        <v>25625255</v>
      </c>
      <c r="N85" s="3"/>
      <c r="O85" s="22">
        <f t="shared" si="9"/>
        <v>5498448</v>
      </c>
      <c r="P85" s="3"/>
      <c r="Q85" s="3">
        <f>6706589+28871</f>
        <v>6735460</v>
      </c>
      <c r="R85" s="3"/>
      <c r="S85" s="3">
        <v>12233908</v>
      </c>
      <c r="T85" s="3"/>
      <c r="U85" s="3">
        <v>0</v>
      </c>
      <c r="V85" s="3"/>
      <c r="W85" s="3">
        <f>2069008+68453+4889</f>
        <v>2142350</v>
      </c>
      <c r="X85" s="3"/>
      <c r="Y85" s="3">
        <v>0</v>
      </c>
      <c r="Z85" s="3"/>
      <c r="AA85" s="3">
        <f>11878579-1018921+389339</f>
        <v>11248997</v>
      </c>
      <c r="AB85" s="3"/>
      <c r="AC85" s="22">
        <f t="shared" si="6"/>
        <v>13391347</v>
      </c>
      <c r="AE85" s="3">
        <f t="shared" si="7"/>
        <v>0</v>
      </c>
    </row>
    <row r="86" spans="1:32" s="16" customFormat="1">
      <c r="A86" s="16" t="s">
        <v>177</v>
      </c>
      <c r="C86" s="16" t="s">
        <v>178</v>
      </c>
      <c r="E86" s="16">
        <v>125682</v>
      </c>
      <c r="G86" s="3">
        <v>1099717</v>
      </c>
      <c r="H86" s="3"/>
      <c r="I86" s="3">
        <v>0</v>
      </c>
      <c r="J86" s="3"/>
      <c r="K86" s="8">
        <f t="shared" si="8"/>
        <v>276371</v>
      </c>
      <c r="L86" s="3"/>
      <c r="M86" s="3">
        <v>1376088</v>
      </c>
      <c r="N86" s="3"/>
      <c r="O86" s="22">
        <f t="shared" si="9"/>
        <v>71397</v>
      </c>
      <c r="P86" s="3"/>
      <c r="Q86" s="3">
        <v>0</v>
      </c>
      <c r="R86" s="3"/>
      <c r="S86" s="3">
        <v>71397</v>
      </c>
      <c r="T86" s="3"/>
      <c r="U86" s="3"/>
      <c r="V86" s="3"/>
      <c r="W86" s="3">
        <v>249580</v>
      </c>
      <c r="X86" s="3"/>
      <c r="Y86" s="3">
        <v>0</v>
      </c>
      <c r="Z86" s="3"/>
      <c r="AA86" s="3">
        <v>1055111</v>
      </c>
      <c r="AB86" s="3"/>
      <c r="AC86" s="22">
        <f t="shared" si="6"/>
        <v>1304691</v>
      </c>
      <c r="AE86" s="3">
        <f t="shared" si="7"/>
        <v>0</v>
      </c>
      <c r="AF86" s="18"/>
    </row>
    <row r="87" spans="1:32" s="16" customFormat="1" ht="12">
      <c r="A87" s="35" t="s">
        <v>376</v>
      </c>
      <c r="C87" s="16" t="s">
        <v>179</v>
      </c>
      <c r="E87" s="16">
        <v>47159</v>
      </c>
      <c r="G87" s="3">
        <v>1499102</v>
      </c>
      <c r="H87" s="3"/>
      <c r="I87" s="3">
        <v>0</v>
      </c>
      <c r="J87" s="3"/>
      <c r="K87" s="8">
        <f t="shared" si="8"/>
        <v>594713</v>
      </c>
      <c r="L87" s="3"/>
      <c r="M87" s="3">
        <v>2093815</v>
      </c>
      <c r="N87" s="3"/>
      <c r="O87" s="22">
        <f t="shared" si="9"/>
        <v>1081030</v>
      </c>
      <c r="P87" s="3"/>
      <c r="Q87" s="3">
        <v>0</v>
      </c>
      <c r="R87" s="3"/>
      <c r="S87" s="3">
        <v>1081030</v>
      </c>
      <c r="T87" s="3"/>
      <c r="U87" s="3"/>
      <c r="V87" s="3"/>
      <c r="W87" s="3">
        <v>27460</v>
      </c>
      <c r="X87" s="3"/>
      <c r="Y87" s="3">
        <v>0</v>
      </c>
      <c r="Z87" s="3"/>
      <c r="AA87" s="3">
        <f>969575+15750</f>
        <v>985325</v>
      </c>
      <c r="AB87" s="3"/>
      <c r="AC87" s="22">
        <f t="shared" si="6"/>
        <v>1012785</v>
      </c>
      <c r="AE87" s="3">
        <f t="shared" si="7"/>
        <v>0</v>
      </c>
    </row>
    <row r="88" spans="1:32" s="16" customFormat="1" ht="12">
      <c r="A88" s="16" t="s">
        <v>377</v>
      </c>
      <c r="C88" s="16" t="s">
        <v>180</v>
      </c>
      <c r="E88" s="16">
        <v>47233</v>
      </c>
      <c r="G88" s="3">
        <v>3157902</v>
      </c>
      <c r="H88" s="3"/>
      <c r="I88" s="3">
        <v>0</v>
      </c>
      <c r="J88" s="3"/>
      <c r="K88" s="8">
        <f t="shared" si="8"/>
        <v>388198</v>
      </c>
      <c r="L88" s="3"/>
      <c r="M88" s="3">
        <v>3546100</v>
      </c>
      <c r="N88" s="3"/>
      <c r="O88" s="22">
        <f t="shared" si="9"/>
        <v>1737192</v>
      </c>
      <c r="P88" s="3"/>
      <c r="Q88" s="3">
        <v>6127</v>
      </c>
      <c r="R88" s="3"/>
      <c r="S88" s="3">
        <v>1743319</v>
      </c>
      <c r="T88" s="3"/>
      <c r="U88" s="3"/>
      <c r="V88" s="3"/>
      <c r="W88" s="3">
        <v>26194</v>
      </c>
      <c r="X88" s="3"/>
      <c r="Y88" s="3">
        <v>0</v>
      </c>
      <c r="Z88" s="3"/>
      <c r="AA88" s="3">
        <f>1689723+86864</f>
        <v>1776587</v>
      </c>
      <c r="AB88" s="3"/>
      <c r="AC88" s="22">
        <f t="shared" si="6"/>
        <v>1802781</v>
      </c>
      <c r="AE88" s="3">
        <f t="shared" si="7"/>
        <v>0</v>
      </c>
    </row>
    <row r="89" spans="1:32" s="16" customFormat="1" ht="12">
      <c r="A89" s="16" t="s">
        <v>378</v>
      </c>
      <c r="C89" s="16" t="s">
        <v>181</v>
      </c>
      <c r="E89" s="16">
        <v>47324</v>
      </c>
      <c r="G89" s="3">
        <v>11910259</v>
      </c>
      <c r="H89" s="3"/>
      <c r="I89" s="3">
        <v>0</v>
      </c>
      <c r="J89" s="3"/>
      <c r="K89" s="8">
        <f t="shared" si="8"/>
        <v>4984587</v>
      </c>
      <c r="L89" s="3"/>
      <c r="M89" s="3">
        <v>16894846</v>
      </c>
      <c r="N89" s="3"/>
      <c r="O89" s="22">
        <f t="shared" si="9"/>
        <v>6078111</v>
      </c>
      <c r="P89" s="3"/>
      <c r="Q89" s="3">
        <v>1837538</v>
      </c>
      <c r="R89" s="3"/>
      <c r="S89" s="3">
        <v>7915649</v>
      </c>
      <c r="T89" s="3"/>
      <c r="U89" s="3"/>
      <c r="V89" s="3"/>
      <c r="W89" s="3">
        <f>1393798+7060</f>
        <v>1400858</v>
      </c>
      <c r="X89" s="3"/>
      <c r="Y89" s="3">
        <v>0</v>
      </c>
      <c r="Z89" s="3"/>
      <c r="AA89" s="3">
        <f>5732110+546229+1300000</f>
        <v>7578339</v>
      </c>
      <c r="AB89" s="3"/>
      <c r="AC89" s="22">
        <f t="shared" si="6"/>
        <v>8979197</v>
      </c>
      <c r="AE89" s="3">
        <f t="shared" si="7"/>
        <v>0</v>
      </c>
    </row>
    <row r="90" spans="1:32" s="16" customFormat="1" ht="12">
      <c r="A90" s="16" t="s">
        <v>379</v>
      </c>
      <c r="C90" s="16" t="s">
        <v>182</v>
      </c>
      <c r="E90" s="16">
        <v>47407</v>
      </c>
      <c r="G90" s="3">
        <v>926362</v>
      </c>
      <c r="H90" s="3"/>
      <c r="I90" s="3">
        <v>0</v>
      </c>
      <c r="J90" s="3"/>
      <c r="K90" s="8">
        <f t="shared" si="8"/>
        <v>65947</v>
      </c>
      <c r="L90" s="3"/>
      <c r="M90" s="3">
        <v>992309</v>
      </c>
      <c r="N90" s="3"/>
      <c r="O90" s="22">
        <f t="shared" si="9"/>
        <v>673330</v>
      </c>
      <c r="P90" s="3"/>
      <c r="Q90" s="3">
        <v>0</v>
      </c>
      <c r="R90" s="3"/>
      <c r="S90" s="3">
        <v>673330</v>
      </c>
      <c r="T90" s="3"/>
      <c r="U90" s="3"/>
      <c r="V90" s="3"/>
      <c r="W90" s="3">
        <v>6222</v>
      </c>
      <c r="X90" s="3"/>
      <c r="Y90" s="3">
        <v>0</v>
      </c>
      <c r="Z90" s="3"/>
      <c r="AA90" s="3">
        <f>305535+7222</f>
        <v>312757</v>
      </c>
      <c r="AB90" s="3"/>
      <c r="AC90" s="22">
        <f t="shared" si="6"/>
        <v>318979</v>
      </c>
      <c r="AE90" s="3">
        <f t="shared" si="7"/>
        <v>0</v>
      </c>
    </row>
    <row r="91" spans="1:32" s="16" customFormat="1" ht="12">
      <c r="A91" s="16" t="s">
        <v>380</v>
      </c>
      <c r="C91" s="16" t="s">
        <v>21</v>
      </c>
      <c r="E91" s="16">
        <v>47480</v>
      </c>
      <c r="G91" s="3">
        <v>1339588</v>
      </c>
      <c r="H91" s="3"/>
      <c r="I91" s="3">
        <v>0</v>
      </c>
      <c r="J91" s="3"/>
      <c r="K91" s="8">
        <f t="shared" si="8"/>
        <v>535580</v>
      </c>
      <c r="L91" s="3"/>
      <c r="M91" s="3">
        <v>1875168</v>
      </c>
      <c r="N91" s="3"/>
      <c r="O91" s="22">
        <f t="shared" si="9"/>
        <v>466501</v>
      </c>
      <c r="P91" s="3"/>
      <c r="Q91" s="3">
        <v>414564</v>
      </c>
      <c r="R91" s="3"/>
      <c r="S91" s="3">
        <v>881065</v>
      </c>
      <c r="T91" s="3"/>
      <c r="U91" s="3"/>
      <c r="V91" s="3"/>
      <c r="W91" s="3">
        <v>29057</v>
      </c>
      <c r="X91" s="3"/>
      <c r="Y91" s="3">
        <v>0</v>
      </c>
      <c r="Z91" s="3"/>
      <c r="AA91" s="3">
        <f>1030050-65004</f>
        <v>965046</v>
      </c>
      <c r="AB91" s="3"/>
      <c r="AC91" s="22">
        <f t="shared" si="6"/>
        <v>994103</v>
      </c>
      <c r="AE91" s="3">
        <f t="shared" si="7"/>
        <v>0</v>
      </c>
    </row>
    <row r="92" spans="1:32" s="16" customFormat="1" ht="12">
      <c r="A92" s="16" t="s">
        <v>381</v>
      </c>
      <c r="C92" s="16" t="s">
        <v>183</v>
      </c>
      <c r="E92" s="16">
        <v>47779</v>
      </c>
      <c r="G92" s="3">
        <v>3291222</v>
      </c>
      <c r="H92" s="3"/>
      <c r="I92" s="3">
        <v>0</v>
      </c>
      <c r="J92" s="3"/>
      <c r="K92" s="8">
        <f t="shared" si="8"/>
        <v>326916</v>
      </c>
      <c r="L92" s="3"/>
      <c r="M92" s="3">
        <v>3618138</v>
      </c>
      <c r="N92" s="3"/>
      <c r="O92" s="22">
        <f t="shared" si="9"/>
        <v>444986</v>
      </c>
      <c r="P92" s="3"/>
      <c r="Q92" s="3">
        <v>561</v>
      </c>
      <c r="R92" s="3"/>
      <c r="S92" s="3">
        <v>445547</v>
      </c>
      <c r="T92" s="3"/>
      <c r="U92" s="3"/>
      <c r="V92" s="3"/>
      <c r="W92" s="3">
        <f>2968+3608+47281</f>
        <v>53857</v>
      </c>
      <c r="X92" s="3"/>
      <c r="Y92" s="3">
        <v>0</v>
      </c>
      <c r="Z92" s="3"/>
      <c r="AA92" s="3">
        <f>3071014+47720</f>
        <v>3118734</v>
      </c>
      <c r="AB92" s="3"/>
      <c r="AC92" s="22">
        <f t="shared" si="6"/>
        <v>3172591</v>
      </c>
      <c r="AE92" s="3">
        <f t="shared" si="7"/>
        <v>0</v>
      </c>
    </row>
    <row r="93" spans="1:32" s="16" customFormat="1" ht="12">
      <c r="A93" s="16" t="s">
        <v>382</v>
      </c>
      <c r="C93" s="16" t="s">
        <v>184</v>
      </c>
      <c r="E93" s="16">
        <v>47811</v>
      </c>
      <c r="G93" s="3">
        <v>187256</v>
      </c>
      <c r="H93" s="3"/>
      <c r="I93" s="3">
        <v>0</v>
      </c>
      <c r="J93" s="3"/>
      <c r="K93" s="8">
        <f t="shared" si="8"/>
        <v>348727</v>
      </c>
      <c r="L93" s="3"/>
      <c r="M93" s="3">
        <v>535983</v>
      </c>
      <c r="N93" s="3"/>
      <c r="O93" s="22">
        <f t="shared" si="9"/>
        <v>483639</v>
      </c>
      <c r="P93" s="3"/>
      <c r="Q93" s="3">
        <v>7253</v>
      </c>
      <c r="R93" s="3"/>
      <c r="S93" s="3">
        <v>490892</v>
      </c>
      <c r="T93" s="3"/>
      <c r="U93" s="3"/>
      <c r="V93" s="3"/>
      <c r="W93" s="3">
        <v>11021</v>
      </c>
      <c r="X93" s="3"/>
      <c r="Y93" s="3">
        <v>0</v>
      </c>
      <c r="Z93" s="3"/>
      <c r="AA93" s="3">
        <f>70786-36716</f>
        <v>34070</v>
      </c>
      <c r="AB93" s="3"/>
      <c r="AC93" s="22">
        <f t="shared" si="6"/>
        <v>45091</v>
      </c>
      <c r="AE93" s="3">
        <f t="shared" si="7"/>
        <v>0</v>
      </c>
    </row>
    <row r="94" spans="1:32" s="16" customFormat="1" ht="12">
      <c r="A94" s="16" t="s">
        <v>383</v>
      </c>
      <c r="C94" s="16" t="s">
        <v>154</v>
      </c>
      <c r="E94" s="16">
        <v>47860</v>
      </c>
      <c r="G94" s="3">
        <v>1771432</v>
      </c>
      <c r="H94" s="3"/>
      <c r="I94" s="3">
        <v>0</v>
      </c>
      <c r="J94" s="3"/>
      <c r="K94" s="8">
        <f t="shared" si="8"/>
        <v>6566378</v>
      </c>
      <c r="L94" s="3"/>
      <c r="M94" s="3">
        <v>8337810</v>
      </c>
      <c r="N94" s="3"/>
      <c r="O94" s="22">
        <f t="shared" si="9"/>
        <v>1385778</v>
      </c>
      <c r="P94" s="3"/>
      <c r="Q94" s="3">
        <v>5605538</v>
      </c>
      <c r="R94" s="3"/>
      <c r="S94" s="3">
        <v>6991316</v>
      </c>
      <c r="T94" s="3"/>
      <c r="U94" s="3"/>
      <c r="V94" s="3"/>
      <c r="W94" s="3">
        <f>180010+506813</f>
        <v>686823</v>
      </c>
      <c r="X94" s="3"/>
      <c r="Y94" s="3">
        <v>0</v>
      </c>
      <c r="Z94" s="3"/>
      <c r="AA94" s="3">
        <f>554642+105029</f>
        <v>659671</v>
      </c>
      <c r="AB94" s="3"/>
      <c r="AC94" s="22">
        <f t="shared" si="6"/>
        <v>1346494</v>
      </c>
      <c r="AE94" s="3">
        <f t="shared" si="7"/>
        <v>0</v>
      </c>
    </row>
    <row r="95" spans="1:32" s="16" customFormat="1" ht="12">
      <c r="A95" s="16" t="s">
        <v>368</v>
      </c>
      <c r="C95" s="16" t="s">
        <v>185</v>
      </c>
      <c r="E95" s="16">
        <v>47910</v>
      </c>
      <c r="G95" s="3">
        <v>316419</v>
      </c>
      <c r="H95" s="3"/>
      <c r="I95" s="3">
        <v>0</v>
      </c>
      <c r="J95" s="3"/>
      <c r="K95" s="8">
        <f t="shared" si="8"/>
        <v>52766</v>
      </c>
      <c r="L95" s="3"/>
      <c r="M95" s="3">
        <v>369185</v>
      </c>
      <c r="N95" s="3"/>
      <c r="O95" s="22">
        <f t="shared" si="9"/>
        <v>113847</v>
      </c>
      <c r="P95" s="3"/>
      <c r="Q95" s="3">
        <v>0</v>
      </c>
      <c r="R95" s="3"/>
      <c r="S95" s="3">
        <v>113847</v>
      </c>
      <c r="T95" s="3"/>
      <c r="U95" s="3"/>
      <c r="V95" s="3"/>
      <c r="W95" s="3">
        <v>12686</v>
      </c>
      <c r="X95" s="3"/>
      <c r="Y95" s="3">
        <v>0</v>
      </c>
      <c r="Z95" s="3"/>
      <c r="AA95" s="3">
        <f>269001-26349</f>
        <v>242652</v>
      </c>
      <c r="AB95" s="3"/>
      <c r="AC95" s="22">
        <f t="shared" si="6"/>
        <v>255338</v>
      </c>
      <c r="AE95" s="3">
        <f t="shared" si="7"/>
        <v>0</v>
      </c>
    </row>
    <row r="96" spans="1:32" s="16" customFormat="1" ht="12">
      <c r="A96" s="3" t="s">
        <v>369</v>
      </c>
      <c r="B96" s="3"/>
      <c r="C96" s="3" t="s">
        <v>187</v>
      </c>
      <c r="G96" s="3">
        <v>1036863</v>
      </c>
      <c r="H96" s="3"/>
      <c r="I96" s="3">
        <v>0</v>
      </c>
      <c r="J96" s="3"/>
      <c r="K96" s="8">
        <f>+M96-I96-G96</f>
        <v>2361109</v>
      </c>
      <c r="L96" s="3"/>
      <c r="M96" s="3">
        <v>3397972</v>
      </c>
      <c r="N96" s="3"/>
      <c r="O96" s="22">
        <f t="shared" si="9"/>
        <v>1334703</v>
      </c>
      <c r="P96" s="3"/>
      <c r="Q96" s="3">
        <v>2101875</v>
      </c>
      <c r="R96" s="3"/>
      <c r="S96" s="3">
        <v>3436578</v>
      </c>
      <c r="T96" s="3"/>
      <c r="U96" s="3"/>
      <c r="V96" s="3"/>
      <c r="W96" s="3">
        <v>83370</v>
      </c>
      <c r="X96" s="3"/>
      <c r="Y96" s="3">
        <v>0</v>
      </c>
      <c r="Z96" s="3"/>
      <c r="AA96" s="3">
        <f>109378-231354</f>
        <v>-121976</v>
      </c>
      <c r="AB96" s="3"/>
      <c r="AC96" s="22">
        <f t="shared" si="6"/>
        <v>-38606</v>
      </c>
      <c r="AE96" s="3">
        <f t="shared" si="7"/>
        <v>0</v>
      </c>
    </row>
    <row r="97" spans="1:31" s="16" customFormat="1" ht="12">
      <c r="A97" s="16" t="s">
        <v>370</v>
      </c>
      <c r="C97" s="16" t="s">
        <v>188</v>
      </c>
      <c r="E97" s="16">
        <v>48058</v>
      </c>
      <c r="G97" s="3">
        <v>812646</v>
      </c>
      <c r="H97" s="3"/>
      <c r="I97" s="3">
        <v>0</v>
      </c>
      <c r="J97" s="3"/>
      <c r="K97" s="8">
        <f t="shared" si="8"/>
        <v>224008</v>
      </c>
      <c r="L97" s="3"/>
      <c r="M97" s="3">
        <v>1036654</v>
      </c>
      <c r="N97" s="3"/>
      <c r="O97" s="22">
        <f t="shared" si="9"/>
        <v>364872</v>
      </c>
      <c r="P97" s="3"/>
      <c r="Q97" s="3">
        <v>0</v>
      </c>
      <c r="R97" s="3"/>
      <c r="S97" s="3">
        <v>364872</v>
      </c>
      <c r="T97" s="3"/>
      <c r="U97" s="3"/>
      <c r="V97" s="3"/>
      <c r="W97" s="3">
        <v>75988</v>
      </c>
      <c r="X97" s="3"/>
      <c r="Y97" s="3">
        <v>0</v>
      </c>
      <c r="Z97" s="3"/>
      <c r="AA97" s="3">
        <f>362550+233244</f>
        <v>595794</v>
      </c>
      <c r="AB97" s="3"/>
      <c r="AC97" s="22">
        <f t="shared" si="6"/>
        <v>671782</v>
      </c>
      <c r="AE97" s="3">
        <f t="shared" si="7"/>
        <v>0</v>
      </c>
    </row>
    <row r="98" spans="1:31" s="16" customFormat="1" ht="12">
      <c r="A98" s="16" t="s">
        <v>371</v>
      </c>
      <c r="C98" s="16" t="s">
        <v>150</v>
      </c>
      <c r="E98" s="16">
        <v>48108</v>
      </c>
      <c r="G98" s="3">
        <v>2709986</v>
      </c>
      <c r="H98" s="3"/>
      <c r="I98" s="3">
        <v>0</v>
      </c>
      <c r="J98" s="3"/>
      <c r="K98" s="8">
        <f t="shared" si="8"/>
        <v>1478024</v>
      </c>
      <c r="L98" s="3"/>
      <c r="M98" s="3">
        <v>4188010</v>
      </c>
      <c r="N98" s="3"/>
      <c r="O98" s="22">
        <f t="shared" si="9"/>
        <v>997331</v>
      </c>
      <c r="P98" s="3"/>
      <c r="Q98" s="3">
        <v>0</v>
      </c>
      <c r="R98" s="3"/>
      <c r="S98" s="3">
        <v>997331</v>
      </c>
      <c r="T98" s="3"/>
      <c r="U98" s="3"/>
      <c r="V98" s="3"/>
      <c r="W98" s="3">
        <v>423784</v>
      </c>
      <c r="X98" s="3"/>
      <c r="Y98" s="3">
        <v>0</v>
      </c>
      <c r="Z98" s="3"/>
      <c r="AA98" s="3">
        <f>2630099+136796</f>
        <v>2766895</v>
      </c>
      <c r="AB98" s="3"/>
      <c r="AC98" s="22">
        <f t="shared" si="6"/>
        <v>3190679</v>
      </c>
      <c r="AE98" s="3">
        <f t="shared" si="7"/>
        <v>0</v>
      </c>
    </row>
    <row r="99" spans="1:31" s="16" customFormat="1" ht="12">
      <c r="A99" s="16" t="s">
        <v>372</v>
      </c>
      <c r="C99" s="16" t="s">
        <v>189</v>
      </c>
      <c r="E99" s="16">
        <v>48199</v>
      </c>
      <c r="G99" s="3">
        <v>5622126</v>
      </c>
      <c r="H99" s="3"/>
      <c r="I99" s="3">
        <v>0</v>
      </c>
      <c r="J99" s="3"/>
      <c r="K99" s="8">
        <f t="shared" si="8"/>
        <v>1443167</v>
      </c>
      <c r="L99" s="3"/>
      <c r="M99" s="3">
        <v>7065293</v>
      </c>
      <c r="N99" s="3"/>
      <c r="O99" s="22">
        <f t="shared" si="9"/>
        <v>1897835</v>
      </c>
      <c r="P99" s="3"/>
      <c r="Q99" s="3">
        <f>445993+15755</f>
        <v>461748</v>
      </c>
      <c r="R99" s="3"/>
      <c r="S99" s="3">
        <v>2359583</v>
      </c>
      <c r="T99" s="3"/>
      <c r="U99" s="3"/>
      <c r="V99" s="3"/>
      <c r="W99" s="3">
        <v>413427</v>
      </c>
      <c r="X99" s="3"/>
      <c r="Y99" s="3">
        <v>0</v>
      </c>
      <c r="Z99" s="3"/>
      <c r="AA99" s="3">
        <f>2087256+2205027</f>
        <v>4292283</v>
      </c>
      <c r="AB99" s="3"/>
      <c r="AC99" s="22">
        <f t="shared" si="6"/>
        <v>4705710</v>
      </c>
      <c r="AE99" s="3">
        <f t="shared" si="7"/>
        <v>0</v>
      </c>
    </row>
    <row r="100" spans="1:31" s="16" customFormat="1" ht="12">
      <c r="A100" s="16" t="s">
        <v>159</v>
      </c>
      <c r="C100" s="16" t="s">
        <v>160</v>
      </c>
      <c r="E100" s="16">
        <v>137364</v>
      </c>
      <c r="G100" s="3">
        <v>1218084</v>
      </c>
      <c r="H100" s="3"/>
      <c r="I100" s="3">
        <v>0</v>
      </c>
      <c r="J100" s="3"/>
      <c r="K100" s="8">
        <f t="shared" si="8"/>
        <v>322347</v>
      </c>
      <c r="L100" s="3"/>
      <c r="M100" s="3">
        <v>1540431</v>
      </c>
      <c r="N100" s="3"/>
      <c r="O100" s="22">
        <f t="shared" si="9"/>
        <v>1413657</v>
      </c>
      <c r="P100" s="3"/>
      <c r="Q100" s="3">
        <v>29737</v>
      </c>
      <c r="R100" s="3"/>
      <c r="S100" s="3">
        <v>1443394</v>
      </c>
      <c r="T100" s="3"/>
      <c r="U100" s="3"/>
      <c r="V100" s="3"/>
      <c r="W100" s="3">
        <f>67825+3926</f>
        <v>71751</v>
      </c>
      <c r="X100" s="3"/>
      <c r="Y100" s="3">
        <v>0</v>
      </c>
      <c r="Z100" s="3"/>
      <c r="AA100" s="3">
        <f>-20784+46070</f>
        <v>25286</v>
      </c>
      <c r="AB100" s="3"/>
      <c r="AC100" s="22">
        <f t="shared" si="6"/>
        <v>97037</v>
      </c>
      <c r="AE100" s="3">
        <f>+G100+I100+K100-O100-Q100-AA100-Y100-U100-W100</f>
        <v>0</v>
      </c>
    </row>
    <row r="101" spans="1:31" s="16" customFormat="1" ht="12">
      <c r="A101" s="16" t="s">
        <v>190</v>
      </c>
      <c r="C101" s="16" t="s">
        <v>191</v>
      </c>
      <c r="E101" s="16">
        <v>48280</v>
      </c>
      <c r="G101" s="3">
        <v>3865787</v>
      </c>
      <c r="H101" s="3"/>
      <c r="I101" s="3">
        <v>0</v>
      </c>
      <c r="J101" s="3"/>
      <c r="K101" s="8">
        <f t="shared" si="8"/>
        <v>3207638</v>
      </c>
      <c r="L101" s="3"/>
      <c r="M101" s="3">
        <v>7073425</v>
      </c>
      <c r="N101" s="3"/>
      <c r="O101" s="22">
        <f t="shared" si="9"/>
        <v>2298572</v>
      </c>
      <c r="P101" s="3"/>
      <c r="Q101" s="3">
        <v>2511434</v>
      </c>
      <c r="R101" s="3"/>
      <c r="S101" s="3">
        <v>4810006</v>
      </c>
      <c r="T101" s="3"/>
      <c r="U101" s="3"/>
      <c r="V101" s="3"/>
      <c r="W101" s="3">
        <f>1033748+25185+2614</f>
        <v>1061547</v>
      </c>
      <c r="X101" s="3"/>
      <c r="Y101" s="3">
        <v>0</v>
      </c>
      <c r="Z101" s="3"/>
      <c r="AA101" s="3">
        <f>779278+143806+278788</f>
        <v>1201872</v>
      </c>
      <c r="AB101" s="3"/>
      <c r="AC101" s="22">
        <f t="shared" si="6"/>
        <v>2263419</v>
      </c>
      <c r="AE101" s="3">
        <f t="shared" si="7"/>
        <v>0</v>
      </c>
    </row>
    <row r="102" spans="1:31" s="16" customFormat="1" ht="12">
      <c r="A102" s="16" t="s">
        <v>192</v>
      </c>
      <c r="C102" s="16" t="s">
        <v>193</v>
      </c>
      <c r="E102" s="16">
        <v>48454</v>
      </c>
      <c r="G102" s="3">
        <v>2415938</v>
      </c>
      <c r="H102" s="3"/>
      <c r="I102" s="3">
        <v>0</v>
      </c>
      <c r="J102" s="3"/>
      <c r="K102" s="8">
        <f t="shared" si="8"/>
        <v>164990</v>
      </c>
      <c r="L102" s="3"/>
      <c r="M102" s="3">
        <v>2580928</v>
      </c>
      <c r="N102" s="3"/>
      <c r="O102" s="22">
        <f t="shared" si="9"/>
        <v>331155</v>
      </c>
      <c r="P102" s="3"/>
      <c r="Q102" s="3">
        <v>179</v>
      </c>
      <c r="R102" s="3"/>
      <c r="S102" s="3">
        <v>331334</v>
      </c>
      <c r="T102" s="3"/>
      <c r="U102" s="3"/>
      <c r="V102" s="3"/>
      <c r="W102" s="3">
        <v>75517</v>
      </c>
      <c r="X102" s="3"/>
      <c r="Y102" s="3">
        <v>0</v>
      </c>
      <c r="Z102" s="3"/>
      <c r="AA102" s="3">
        <f>2080919+93158</f>
        <v>2174077</v>
      </c>
      <c r="AB102" s="3"/>
      <c r="AC102" s="22">
        <f t="shared" si="6"/>
        <v>2249594</v>
      </c>
      <c r="AE102" s="3">
        <f t="shared" ref="AE102:AE130" si="12">+G102+I102+K102-O102-Q102-AA102-Y102-U102-W102</f>
        <v>0</v>
      </c>
    </row>
    <row r="103" spans="1:31" s="16" customFormat="1" ht="12" hidden="1">
      <c r="A103" s="3" t="s">
        <v>348</v>
      </c>
      <c r="C103" s="16" t="s">
        <v>195</v>
      </c>
      <c r="E103" s="16">
        <v>48546</v>
      </c>
      <c r="G103" s="3"/>
      <c r="H103" s="3"/>
      <c r="I103" s="3"/>
      <c r="J103" s="3"/>
      <c r="K103" s="8">
        <f t="shared" si="8"/>
        <v>0</v>
      </c>
      <c r="L103" s="3"/>
      <c r="M103" s="3"/>
      <c r="N103" s="3"/>
      <c r="O103" s="22">
        <f t="shared" si="9"/>
        <v>0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22">
        <f t="shared" si="6"/>
        <v>0</v>
      </c>
      <c r="AE103" s="3">
        <f t="shared" si="12"/>
        <v>0</v>
      </c>
    </row>
    <row r="104" spans="1:31" s="16" customFormat="1" ht="12">
      <c r="A104" s="16" t="s">
        <v>196</v>
      </c>
      <c r="C104" s="16" t="s">
        <v>197</v>
      </c>
      <c r="E104" s="16">
        <v>48603</v>
      </c>
      <c r="G104" s="3">
        <v>2857123</v>
      </c>
      <c r="H104" s="3"/>
      <c r="I104" s="3">
        <v>3408</v>
      </c>
      <c r="J104" s="3"/>
      <c r="K104" s="8">
        <f t="shared" si="8"/>
        <v>176751</v>
      </c>
      <c r="L104" s="3"/>
      <c r="M104" s="3">
        <v>3037282</v>
      </c>
      <c r="N104" s="3"/>
      <c r="O104" s="22">
        <f t="shared" si="9"/>
        <v>1402594</v>
      </c>
      <c r="P104" s="3"/>
      <c r="Q104" s="3">
        <v>8721</v>
      </c>
      <c r="R104" s="3"/>
      <c r="S104" s="3">
        <v>1411315</v>
      </c>
      <c r="T104" s="3"/>
      <c r="U104" s="3"/>
      <c r="V104" s="3"/>
      <c r="W104" s="3">
        <f>49273+3408</f>
        <v>52681</v>
      </c>
      <c r="X104" s="3"/>
      <c r="Y104" s="3">
        <v>0</v>
      </c>
      <c r="Z104" s="3"/>
      <c r="AA104" s="3">
        <f>1549504+23782</f>
        <v>1573286</v>
      </c>
      <c r="AB104" s="3"/>
      <c r="AC104" s="22">
        <f t="shared" si="6"/>
        <v>1625967</v>
      </c>
      <c r="AE104" s="3">
        <f t="shared" si="12"/>
        <v>0</v>
      </c>
    </row>
    <row r="105" spans="1:31" s="16" customFormat="1" ht="12" hidden="1">
      <c r="A105" s="3" t="s">
        <v>347</v>
      </c>
      <c r="B105" s="3"/>
      <c r="C105" s="3" t="s">
        <v>212</v>
      </c>
      <c r="G105" s="3"/>
      <c r="H105" s="3"/>
      <c r="I105" s="3"/>
      <c r="J105" s="3"/>
      <c r="K105" s="8">
        <f>+M105-I105-G105</f>
        <v>0</v>
      </c>
      <c r="L105" s="3"/>
      <c r="M105" s="3"/>
      <c r="N105" s="3"/>
      <c r="O105" s="22">
        <f t="shared" si="9"/>
        <v>0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22">
        <f t="shared" si="6"/>
        <v>0</v>
      </c>
      <c r="AE105" s="3">
        <f t="shared" si="12"/>
        <v>0</v>
      </c>
    </row>
    <row r="106" spans="1:31" s="16" customFormat="1" ht="12">
      <c r="A106" s="16" t="s">
        <v>198</v>
      </c>
      <c r="C106" s="16" t="s">
        <v>199</v>
      </c>
      <c r="E106" s="16">
        <v>48660</v>
      </c>
      <c r="G106" s="3">
        <v>16565090</v>
      </c>
      <c r="H106" s="3"/>
      <c r="I106" s="3">
        <v>0</v>
      </c>
      <c r="J106" s="3"/>
      <c r="K106" s="8">
        <f t="shared" si="8"/>
        <v>2003871</v>
      </c>
      <c r="L106" s="3"/>
      <c r="M106" s="3">
        <v>18568961</v>
      </c>
      <c r="N106" s="3"/>
      <c r="O106" s="22">
        <f t="shared" si="9"/>
        <v>4333451</v>
      </c>
      <c r="P106" s="3"/>
      <c r="Q106" s="3">
        <v>524835</v>
      </c>
      <c r="R106" s="3"/>
      <c r="S106" s="3">
        <v>4858286</v>
      </c>
      <c r="T106" s="3"/>
      <c r="U106" s="3"/>
      <c r="V106" s="3"/>
      <c r="W106" s="3">
        <v>586718</v>
      </c>
      <c r="X106" s="3"/>
      <c r="Y106" s="3">
        <v>0</v>
      </c>
      <c r="Z106" s="3"/>
      <c r="AA106" s="3">
        <f>11891662+1232295</f>
        <v>13123957</v>
      </c>
      <c r="AB106" s="3"/>
      <c r="AC106" s="22">
        <f t="shared" si="6"/>
        <v>13710675</v>
      </c>
      <c r="AE106" s="3">
        <f t="shared" si="12"/>
        <v>0</v>
      </c>
    </row>
    <row r="107" spans="1:31" s="16" customFormat="1" ht="12">
      <c r="A107" s="16" t="s">
        <v>200</v>
      </c>
      <c r="C107" s="16" t="s">
        <v>201</v>
      </c>
      <c r="E107" s="16">
        <v>125252</v>
      </c>
      <c r="G107" s="3">
        <f>2105782+1523522</f>
        <v>3629304</v>
      </c>
      <c r="H107" s="3"/>
      <c r="I107" s="3">
        <v>0</v>
      </c>
      <c r="J107" s="3"/>
      <c r="K107" s="8">
        <f t="shared" si="8"/>
        <v>917590</v>
      </c>
      <c r="L107" s="3"/>
      <c r="M107" s="3">
        <v>4546894</v>
      </c>
      <c r="N107" s="3"/>
      <c r="O107" s="22">
        <f t="shared" si="9"/>
        <v>1443620</v>
      </c>
      <c r="P107" s="3"/>
      <c r="Q107" s="3">
        <v>200643</v>
      </c>
      <c r="R107" s="3"/>
      <c r="S107" s="3">
        <v>1644263</v>
      </c>
      <c r="T107" s="3"/>
      <c r="U107" s="3"/>
      <c r="V107" s="3"/>
      <c r="W107" s="3">
        <f>629597+113269</f>
        <v>742866</v>
      </c>
      <c r="X107" s="3"/>
      <c r="Y107" s="3">
        <v>0</v>
      </c>
      <c r="Z107" s="3"/>
      <c r="AA107" s="3">
        <f>2449341-289576</f>
        <v>2159765</v>
      </c>
      <c r="AB107" s="3"/>
      <c r="AC107" s="22">
        <f t="shared" si="6"/>
        <v>2902631</v>
      </c>
      <c r="AE107" s="3">
        <f t="shared" si="12"/>
        <v>0</v>
      </c>
    </row>
    <row r="108" spans="1:31" s="16" customFormat="1" ht="12">
      <c r="A108" s="16" t="s">
        <v>326</v>
      </c>
      <c r="C108" s="16" t="s">
        <v>218</v>
      </c>
      <c r="E108" s="16">
        <v>123257</v>
      </c>
      <c r="G108" s="3">
        <f>2517369+39600</f>
        <v>2556969</v>
      </c>
      <c r="H108" s="3"/>
      <c r="I108" s="3">
        <v>0</v>
      </c>
      <c r="J108" s="3"/>
      <c r="K108" s="8">
        <f t="shared" si="8"/>
        <v>582661</v>
      </c>
      <c r="L108" s="3"/>
      <c r="M108" s="3">
        <v>3139630</v>
      </c>
      <c r="N108" s="3"/>
      <c r="O108" s="22">
        <f t="shared" si="9"/>
        <v>1654726</v>
      </c>
      <c r="P108" s="3"/>
      <c r="Q108" s="3">
        <f>7619+117527</f>
        <v>125146</v>
      </c>
      <c r="R108" s="3"/>
      <c r="S108" s="3">
        <v>1779872</v>
      </c>
      <c r="T108" s="3"/>
      <c r="U108" s="3"/>
      <c r="V108" s="3"/>
      <c r="W108" s="3">
        <f>227793+41940</f>
        <v>269733</v>
      </c>
      <c r="X108" s="3"/>
      <c r="Y108" s="3">
        <v>0</v>
      </c>
      <c r="Z108" s="3"/>
      <c r="AA108" s="3">
        <f>1193399-103374</f>
        <v>1090025</v>
      </c>
      <c r="AB108" s="3"/>
      <c r="AC108" s="22">
        <f t="shared" ref="AC108:AC130" si="13">+AA108+Y108+U108+W108</f>
        <v>1359758</v>
      </c>
      <c r="AE108" s="3">
        <f t="shared" si="12"/>
        <v>0</v>
      </c>
    </row>
    <row r="109" spans="1:31" s="16" customFormat="1" ht="12">
      <c r="A109" s="16" t="s">
        <v>373</v>
      </c>
      <c r="C109" s="16" t="s">
        <v>172</v>
      </c>
      <c r="G109" s="3">
        <v>7251550</v>
      </c>
      <c r="H109" s="3"/>
      <c r="I109" s="3">
        <v>0</v>
      </c>
      <c r="J109" s="3"/>
      <c r="K109" s="8">
        <f t="shared" ref="K109" si="14">+M109-I109-G109</f>
        <v>578193</v>
      </c>
      <c r="L109" s="3"/>
      <c r="M109" s="3">
        <v>7829743</v>
      </c>
      <c r="N109" s="3"/>
      <c r="O109" s="22">
        <f t="shared" ref="O109" si="15">+S109-Q109</f>
        <v>2074630</v>
      </c>
      <c r="P109" s="3"/>
      <c r="Q109" s="3">
        <f>6587+187848</f>
        <v>194435</v>
      </c>
      <c r="R109" s="3"/>
      <c r="S109" s="3">
        <v>2269065</v>
      </c>
      <c r="T109" s="3"/>
      <c r="U109" s="3"/>
      <c r="V109" s="3"/>
      <c r="W109" s="3">
        <f>250878+69854+2645</f>
        <v>323377</v>
      </c>
      <c r="X109" s="3"/>
      <c r="Y109" s="3">
        <v>0</v>
      </c>
      <c r="Z109" s="3"/>
      <c r="AA109" s="3">
        <f>5016280+221021</f>
        <v>5237301</v>
      </c>
      <c r="AB109" s="3"/>
      <c r="AC109" s="22">
        <f t="shared" si="13"/>
        <v>5560678</v>
      </c>
      <c r="AE109" s="3">
        <f t="shared" si="12"/>
        <v>0</v>
      </c>
    </row>
    <row r="110" spans="1:31" s="16" customFormat="1" ht="12">
      <c r="A110" s="16" t="s">
        <v>176</v>
      </c>
      <c r="C110" s="3" t="s">
        <v>242</v>
      </c>
      <c r="E110" s="16">
        <v>124297</v>
      </c>
      <c r="G110" s="3">
        <v>7881654</v>
      </c>
      <c r="H110" s="3"/>
      <c r="I110" s="3">
        <v>0</v>
      </c>
      <c r="J110" s="3"/>
      <c r="K110" s="8">
        <f t="shared" si="8"/>
        <v>1393386</v>
      </c>
      <c r="L110" s="3"/>
      <c r="M110" s="3">
        <v>9275040</v>
      </c>
      <c r="N110" s="3"/>
      <c r="O110" s="22">
        <f t="shared" si="9"/>
        <v>2405275</v>
      </c>
      <c r="P110" s="3"/>
      <c r="Q110" s="3">
        <v>817862</v>
      </c>
      <c r="R110" s="3"/>
      <c r="S110" s="3">
        <v>3223137</v>
      </c>
      <c r="T110" s="3"/>
      <c r="U110" s="3"/>
      <c r="V110" s="3"/>
      <c r="W110" s="3">
        <v>1021856</v>
      </c>
      <c r="X110" s="3"/>
      <c r="Y110" s="3">
        <v>100133</v>
      </c>
      <c r="Z110" s="3"/>
      <c r="AA110" s="3">
        <f>5320304-390390</f>
        <v>4929914</v>
      </c>
      <c r="AB110" s="3"/>
      <c r="AC110" s="22">
        <f t="shared" si="13"/>
        <v>6051903</v>
      </c>
      <c r="AE110" s="3">
        <f t="shared" si="12"/>
        <v>0</v>
      </c>
    </row>
    <row r="111" spans="1:31" s="16" customFormat="1" ht="12">
      <c r="A111" s="16" t="s">
        <v>313</v>
      </c>
      <c r="C111" s="3" t="s">
        <v>320</v>
      </c>
      <c r="E111" s="16">
        <v>123521</v>
      </c>
      <c r="G111" s="3">
        <v>1681781</v>
      </c>
      <c r="H111" s="3"/>
      <c r="I111" s="3">
        <v>28270</v>
      </c>
      <c r="J111" s="3"/>
      <c r="K111" s="8">
        <f t="shared" si="8"/>
        <v>352640</v>
      </c>
      <c r="L111" s="3"/>
      <c r="M111" s="3">
        <v>2062691</v>
      </c>
      <c r="N111" s="3"/>
      <c r="O111" s="22">
        <f t="shared" si="9"/>
        <v>836017</v>
      </c>
      <c r="P111" s="3"/>
      <c r="Q111" s="3">
        <v>103752</v>
      </c>
      <c r="R111" s="3"/>
      <c r="S111" s="3">
        <v>939769</v>
      </c>
      <c r="T111" s="3"/>
      <c r="U111" s="3"/>
      <c r="V111" s="3"/>
      <c r="W111" s="3">
        <f>9237+28270</f>
        <v>37507</v>
      </c>
      <c r="X111" s="3"/>
      <c r="Y111" s="3">
        <v>0</v>
      </c>
      <c r="Z111" s="3"/>
      <c r="AA111" s="3">
        <f>966942+118473</f>
        <v>1085415</v>
      </c>
      <c r="AB111" s="3"/>
      <c r="AC111" s="22">
        <f t="shared" si="13"/>
        <v>1122922</v>
      </c>
      <c r="AE111" s="3">
        <f t="shared" si="12"/>
        <v>0</v>
      </c>
    </row>
    <row r="112" spans="1:31" s="16" customFormat="1" ht="12">
      <c r="A112" s="16" t="s">
        <v>202</v>
      </c>
      <c r="C112" s="16" t="s">
        <v>203</v>
      </c>
      <c r="E112" s="16">
        <v>125674</v>
      </c>
      <c r="G112" s="3">
        <v>707633</v>
      </c>
      <c r="H112" s="3"/>
      <c r="I112" s="3">
        <v>0</v>
      </c>
      <c r="J112" s="3"/>
      <c r="K112" s="8">
        <f t="shared" si="8"/>
        <v>373100</v>
      </c>
      <c r="L112" s="3"/>
      <c r="M112" s="3">
        <v>1080733</v>
      </c>
      <c r="N112" s="3"/>
      <c r="O112" s="22">
        <f t="shared" si="9"/>
        <v>1016806</v>
      </c>
      <c r="P112" s="3"/>
      <c r="Q112" s="3">
        <v>2431</v>
      </c>
      <c r="R112" s="3"/>
      <c r="S112" s="3">
        <v>1019237</v>
      </c>
      <c r="T112" s="3"/>
      <c r="U112" s="3">
        <v>0</v>
      </c>
      <c r="V112" s="3"/>
      <c r="W112" s="3">
        <v>129244</v>
      </c>
      <c r="X112" s="3"/>
      <c r="Y112" s="3">
        <v>0</v>
      </c>
      <c r="Z112" s="3"/>
      <c r="AA112" s="3">
        <f>-189291+115662+5881</f>
        <v>-67748</v>
      </c>
      <c r="AB112" s="3"/>
      <c r="AC112" s="22">
        <f t="shared" si="13"/>
        <v>61496</v>
      </c>
      <c r="AE112" s="3">
        <f t="shared" si="12"/>
        <v>0</v>
      </c>
    </row>
    <row r="113" spans="1:31" s="16" customFormat="1" ht="12">
      <c r="A113" s="16" t="s">
        <v>204</v>
      </c>
      <c r="C113" s="16" t="s">
        <v>205</v>
      </c>
      <c r="E113" s="16">
        <v>49072</v>
      </c>
      <c r="G113" s="3">
        <v>664409</v>
      </c>
      <c r="H113" s="3"/>
      <c r="I113" s="3">
        <v>0</v>
      </c>
      <c r="J113" s="3"/>
      <c r="K113" s="8">
        <f t="shared" si="8"/>
        <v>157849</v>
      </c>
      <c r="L113" s="3"/>
      <c r="M113" s="3">
        <v>822258</v>
      </c>
      <c r="N113" s="3"/>
      <c r="O113" s="22">
        <f t="shared" si="9"/>
        <v>388951</v>
      </c>
      <c r="P113" s="3"/>
      <c r="Q113" s="3">
        <v>16363</v>
      </c>
      <c r="R113" s="3"/>
      <c r="S113" s="3">
        <v>405314</v>
      </c>
      <c r="T113" s="3"/>
      <c r="U113" s="3">
        <v>0</v>
      </c>
      <c r="V113" s="3"/>
      <c r="W113" s="3">
        <v>17294</v>
      </c>
      <c r="X113" s="3"/>
      <c r="Y113" s="3">
        <v>0</v>
      </c>
      <c r="Z113" s="3"/>
      <c r="AA113" s="3">
        <f>306938+92712</f>
        <v>399650</v>
      </c>
      <c r="AB113" s="3"/>
      <c r="AC113" s="22">
        <f t="shared" si="13"/>
        <v>416944</v>
      </c>
      <c r="AE113" s="3">
        <f t="shared" si="12"/>
        <v>0</v>
      </c>
    </row>
    <row r="114" spans="1:31" s="16" customFormat="1" ht="12">
      <c r="A114" s="16" t="s">
        <v>206</v>
      </c>
      <c r="C114" s="16" t="s">
        <v>207</v>
      </c>
      <c r="E114" s="16">
        <v>49163</v>
      </c>
      <c r="G114" s="3">
        <v>1055741</v>
      </c>
      <c r="H114" s="3"/>
      <c r="I114" s="3">
        <v>0</v>
      </c>
      <c r="J114" s="3"/>
      <c r="K114" s="8">
        <f t="shared" si="8"/>
        <v>655916</v>
      </c>
      <c r="L114" s="3"/>
      <c r="M114" s="3">
        <v>1711657</v>
      </c>
      <c r="N114" s="3"/>
      <c r="O114" s="22">
        <f t="shared" si="9"/>
        <v>992478</v>
      </c>
      <c r="P114" s="3"/>
      <c r="Q114" s="3">
        <v>541429</v>
      </c>
      <c r="R114" s="3"/>
      <c r="S114" s="3">
        <v>1533907</v>
      </c>
      <c r="T114" s="3"/>
      <c r="U114" s="3">
        <v>0</v>
      </c>
      <c r="V114" s="3"/>
      <c r="W114" s="3">
        <v>28930</v>
      </c>
      <c r="X114" s="3"/>
      <c r="Y114" s="3">
        <v>0</v>
      </c>
      <c r="Z114" s="3"/>
      <c r="AA114" s="3">
        <f>307594-158821+47</f>
        <v>148820</v>
      </c>
      <c r="AB114" s="3"/>
      <c r="AC114" s="22">
        <f t="shared" si="13"/>
        <v>177750</v>
      </c>
      <c r="AE114" s="3">
        <f t="shared" si="12"/>
        <v>0</v>
      </c>
    </row>
    <row r="115" spans="1:31" s="16" customFormat="1" ht="12" hidden="1">
      <c r="A115" s="16" t="s">
        <v>349</v>
      </c>
      <c r="C115" s="16" t="s">
        <v>209</v>
      </c>
      <c r="E115" s="16">
        <v>49254</v>
      </c>
      <c r="G115" s="3"/>
      <c r="H115" s="3"/>
      <c r="I115" s="3"/>
      <c r="J115" s="3"/>
      <c r="K115" s="8">
        <f t="shared" si="8"/>
        <v>0</v>
      </c>
      <c r="L115" s="3"/>
      <c r="M115" s="3"/>
      <c r="N115" s="3"/>
      <c r="O115" s="22">
        <f t="shared" si="9"/>
        <v>0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22">
        <f t="shared" si="13"/>
        <v>0</v>
      </c>
      <c r="AE115" s="3">
        <f t="shared" si="12"/>
        <v>0</v>
      </c>
    </row>
    <row r="116" spans="1:31" s="16" customFormat="1" ht="12">
      <c r="A116" s="16" t="s">
        <v>210</v>
      </c>
      <c r="C116" s="16" t="s">
        <v>211</v>
      </c>
      <c r="E116" s="16">
        <v>49304</v>
      </c>
      <c r="G116" s="3">
        <v>1376423</v>
      </c>
      <c r="H116" s="3"/>
      <c r="I116" s="3">
        <v>0</v>
      </c>
      <c r="J116" s="3"/>
      <c r="K116" s="8">
        <f t="shared" si="8"/>
        <v>824853</v>
      </c>
      <c r="L116" s="3"/>
      <c r="M116" s="3">
        <v>2201276</v>
      </c>
      <c r="N116" s="3"/>
      <c r="O116" s="22">
        <f t="shared" si="9"/>
        <v>761032</v>
      </c>
      <c r="P116" s="3"/>
      <c r="Q116" s="3">
        <v>716874</v>
      </c>
      <c r="R116" s="3"/>
      <c r="S116" s="3">
        <v>1477906</v>
      </c>
      <c r="T116" s="3"/>
      <c r="U116" s="3">
        <v>0</v>
      </c>
      <c r="V116" s="3"/>
      <c r="W116" s="3">
        <v>288331</v>
      </c>
      <c r="X116" s="3"/>
      <c r="Y116" s="3">
        <v>0</v>
      </c>
      <c r="Z116" s="3"/>
      <c r="AA116" s="3">
        <f>762229-327190</f>
        <v>435039</v>
      </c>
      <c r="AB116" s="3"/>
      <c r="AC116" s="22">
        <f t="shared" si="13"/>
        <v>723370</v>
      </c>
      <c r="AE116" s="3">
        <f t="shared" si="12"/>
        <v>0</v>
      </c>
    </row>
    <row r="117" spans="1:31" s="16" customFormat="1" ht="12">
      <c r="A117" s="16" t="s">
        <v>213</v>
      </c>
      <c r="C117" s="16" t="s">
        <v>214</v>
      </c>
      <c r="E117" s="16">
        <v>138222</v>
      </c>
      <c r="G117" s="3">
        <v>3344943</v>
      </c>
      <c r="H117" s="3"/>
      <c r="I117" s="3">
        <v>0</v>
      </c>
      <c r="J117" s="3"/>
      <c r="K117" s="8">
        <f t="shared" si="8"/>
        <v>728086</v>
      </c>
      <c r="L117" s="3"/>
      <c r="M117" s="3">
        <v>4073029</v>
      </c>
      <c r="N117" s="3"/>
      <c r="O117" s="22">
        <f t="shared" si="9"/>
        <v>1157889</v>
      </c>
      <c r="P117" s="3"/>
      <c r="Q117" s="3">
        <v>80913</v>
      </c>
      <c r="R117" s="3"/>
      <c r="S117" s="3">
        <v>1238802</v>
      </c>
      <c r="T117" s="3"/>
      <c r="U117" s="3">
        <v>0</v>
      </c>
      <c r="V117" s="3"/>
      <c r="W117" s="3">
        <f>66928+7543</f>
        <v>74471</v>
      </c>
      <c r="X117" s="3"/>
      <c r="Y117" s="3">
        <v>0</v>
      </c>
      <c r="Z117" s="3"/>
      <c r="AA117" s="3">
        <f>2691484+68272</f>
        <v>2759756</v>
      </c>
      <c r="AB117" s="3"/>
      <c r="AC117" s="22">
        <f t="shared" si="13"/>
        <v>2834227</v>
      </c>
      <c r="AE117" s="3">
        <f t="shared" si="12"/>
        <v>0</v>
      </c>
    </row>
    <row r="118" spans="1:31" s="16" customFormat="1" ht="12" hidden="1">
      <c r="A118" s="3" t="s">
        <v>386</v>
      </c>
      <c r="C118" s="16" t="s">
        <v>216</v>
      </c>
      <c r="E118" s="16">
        <v>49551</v>
      </c>
      <c r="G118" s="3"/>
      <c r="H118" s="3"/>
      <c r="I118" s="3"/>
      <c r="J118" s="3"/>
      <c r="K118" s="8">
        <f t="shared" si="8"/>
        <v>0</v>
      </c>
      <c r="L118" s="3"/>
      <c r="M118" s="3"/>
      <c r="N118" s="3"/>
      <c r="O118" s="22">
        <f t="shared" si="9"/>
        <v>0</v>
      </c>
      <c r="P118" s="3"/>
      <c r="Q118" s="3"/>
      <c r="R118" s="3"/>
      <c r="S118" s="3"/>
      <c r="T118" s="3"/>
      <c r="U118" s="3">
        <v>0</v>
      </c>
      <c r="V118" s="3"/>
      <c r="W118" s="3"/>
      <c r="X118" s="3"/>
      <c r="Y118" s="3"/>
      <c r="Z118" s="3"/>
      <c r="AA118" s="3"/>
      <c r="AB118" s="3"/>
      <c r="AC118" s="22">
        <f t="shared" si="13"/>
        <v>0</v>
      </c>
      <c r="AE118" s="3">
        <f t="shared" si="12"/>
        <v>0</v>
      </c>
    </row>
    <row r="119" spans="1:31" s="16" customFormat="1" ht="12">
      <c r="A119" s="16" t="s">
        <v>219</v>
      </c>
      <c r="C119" s="16" t="s">
        <v>220</v>
      </c>
      <c r="E119" s="16">
        <v>49742</v>
      </c>
      <c r="G119" s="3">
        <v>1137032</v>
      </c>
      <c r="H119" s="3"/>
      <c r="I119" s="3">
        <v>0</v>
      </c>
      <c r="J119" s="3"/>
      <c r="K119" s="8">
        <f t="shared" si="8"/>
        <v>121062</v>
      </c>
      <c r="L119" s="3"/>
      <c r="M119" s="3">
        <v>1258094</v>
      </c>
      <c r="N119" s="3"/>
      <c r="O119" s="22">
        <f t="shared" si="9"/>
        <v>632332</v>
      </c>
      <c r="P119" s="3"/>
      <c r="Q119" s="3">
        <v>13144</v>
      </c>
      <c r="R119" s="3"/>
      <c r="S119" s="3">
        <v>645476</v>
      </c>
      <c r="T119" s="3"/>
      <c r="U119" s="3">
        <v>0</v>
      </c>
      <c r="V119" s="3"/>
      <c r="W119" s="3">
        <f>98634+962+8141</f>
        <v>107737</v>
      </c>
      <c r="X119" s="3"/>
      <c r="Y119" s="3">
        <v>0</v>
      </c>
      <c r="Z119" s="3"/>
      <c r="AA119" s="3">
        <f>255953+248928</f>
        <v>504881</v>
      </c>
      <c r="AB119" s="3"/>
      <c r="AC119" s="22">
        <f t="shared" si="13"/>
        <v>612618</v>
      </c>
      <c r="AE119" s="3">
        <f t="shared" si="12"/>
        <v>0</v>
      </c>
    </row>
    <row r="120" spans="1:31" s="16" customFormat="1" ht="12">
      <c r="A120" s="16" t="s">
        <v>324</v>
      </c>
      <c r="C120" s="16" t="s">
        <v>217</v>
      </c>
      <c r="E120" s="16">
        <v>125658</v>
      </c>
      <c r="G120" s="3">
        <v>1466547</v>
      </c>
      <c r="H120" s="3"/>
      <c r="I120" s="3">
        <v>0</v>
      </c>
      <c r="J120" s="3"/>
      <c r="K120" s="8">
        <f t="shared" si="8"/>
        <v>297023</v>
      </c>
      <c r="L120" s="3"/>
      <c r="M120" s="3">
        <v>1763570</v>
      </c>
      <c r="N120" s="3"/>
      <c r="O120" s="22">
        <f t="shared" si="9"/>
        <v>902784</v>
      </c>
      <c r="P120" s="3"/>
      <c r="Q120" s="3">
        <v>49922</v>
      </c>
      <c r="R120" s="3"/>
      <c r="S120" s="3">
        <v>952706</v>
      </c>
      <c r="T120" s="3"/>
      <c r="U120" s="3">
        <v>0</v>
      </c>
      <c r="V120" s="3"/>
      <c r="W120" s="3">
        <v>119869</v>
      </c>
      <c r="X120" s="3"/>
      <c r="Y120" s="3">
        <v>0</v>
      </c>
      <c r="Z120" s="3"/>
      <c r="AA120" s="3">
        <f>550887+140108</f>
        <v>690995</v>
      </c>
      <c r="AB120" s="3"/>
      <c r="AC120" s="22">
        <f t="shared" si="13"/>
        <v>810864</v>
      </c>
      <c r="AE120" s="3">
        <f t="shared" si="12"/>
        <v>0</v>
      </c>
    </row>
    <row r="121" spans="1:31" s="16" customFormat="1" ht="12">
      <c r="A121" s="3" t="s">
        <v>323</v>
      </c>
      <c r="B121" s="3"/>
      <c r="C121" s="3" t="s">
        <v>164</v>
      </c>
      <c r="G121" s="3">
        <v>2914032</v>
      </c>
      <c r="H121" s="3"/>
      <c r="I121" s="3">
        <v>0</v>
      </c>
      <c r="J121" s="3"/>
      <c r="K121" s="8">
        <f>+M121-I121-G121</f>
        <v>47537</v>
      </c>
      <c r="L121" s="3"/>
      <c r="M121" s="3">
        <v>2961569</v>
      </c>
      <c r="N121" s="3"/>
      <c r="O121" s="22">
        <f t="shared" si="9"/>
        <v>249131</v>
      </c>
      <c r="P121" s="3"/>
      <c r="Q121" s="3">
        <v>6210</v>
      </c>
      <c r="R121" s="3"/>
      <c r="S121" s="3">
        <v>255341</v>
      </c>
      <c r="T121" s="3"/>
      <c r="U121" s="3">
        <v>0</v>
      </c>
      <c r="V121" s="3"/>
      <c r="W121" s="3">
        <v>144451</v>
      </c>
      <c r="X121" s="3"/>
      <c r="Y121" s="3">
        <v>0</v>
      </c>
      <c r="Z121" s="3"/>
      <c r="AA121" s="3">
        <f>2398790+162987</f>
        <v>2561777</v>
      </c>
      <c r="AB121" s="3"/>
      <c r="AC121" s="22">
        <f t="shared" si="13"/>
        <v>2706228</v>
      </c>
      <c r="AE121" s="3">
        <f t="shared" si="12"/>
        <v>0</v>
      </c>
    </row>
    <row r="122" spans="1:31" s="16" customFormat="1" ht="12">
      <c r="A122" s="16" t="s">
        <v>355</v>
      </c>
      <c r="C122" s="16" t="s">
        <v>221</v>
      </c>
      <c r="E122" s="16">
        <v>49825</v>
      </c>
      <c r="G122" s="3">
        <v>1036921</v>
      </c>
      <c r="H122" s="3"/>
      <c r="I122" s="3">
        <v>0</v>
      </c>
      <c r="J122" s="3"/>
      <c r="K122" s="8">
        <f t="shared" si="8"/>
        <v>3735400</v>
      </c>
      <c r="L122" s="3"/>
      <c r="M122" s="3">
        <v>4772321</v>
      </c>
      <c r="N122" s="3"/>
      <c r="O122" s="22">
        <f t="shared" si="9"/>
        <v>2759006</v>
      </c>
      <c r="P122" s="3"/>
      <c r="Q122" s="3">
        <v>2000524</v>
      </c>
      <c r="R122" s="3"/>
      <c r="S122" s="3">
        <v>4759530</v>
      </c>
      <c r="T122" s="3"/>
      <c r="U122" s="3">
        <v>0</v>
      </c>
      <c r="V122" s="3"/>
      <c r="W122" s="3">
        <f>340706+6077</f>
        <v>346783</v>
      </c>
      <c r="X122" s="3"/>
      <c r="Y122" s="3">
        <v>0</v>
      </c>
      <c r="Z122" s="3"/>
      <c r="AA122" s="3">
        <f>-354055+9803+10260</f>
        <v>-333992</v>
      </c>
      <c r="AB122" s="3"/>
      <c r="AC122" s="22">
        <f t="shared" si="13"/>
        <v>12791</v>
      </c>
      <c r="AE122" s="3">
        <f t="shared" si="12"/>
        <v>0</v>
      </c>
    </row>
    <row r="123" spans="1:31" s="16" customFormat="1" ht="12">
      <c r="A123" s="16" t="s">
        <v>222</v>
      </c>
      <c r="C123" s="16" t="s">
        <v>223</v>
      </c>
      <c r="E123" s="16">
        <v>49965</v>
      </c>
      <c r="G123" s="3">
        <v>7019764</v>
      </c>
      <c r="H123" s="3"/>
      <c r="I123" s="3">
        <v>0</v>
      </c>
      <c r="J123" s="3"/>
      <c r="K123" s="8">
        <f t="shared" si="8"/>
        <v>2162334</v>
      </c>
      <c r="L123" s="3"/>
      <c r="M123" s="3">
        <v>9182098</v>
      </c>
      <c r="N123" s="3"/>
      <c r="O123" s="22">
        <f t="shared" si="9"/>
        <v>1412080</v>
      </c>
      <c r="P123" s="3"/>
      <c r="Q123" s="3">
        <v>1956223</v>
      </c>
      <c r="R123" s="3"/>
      <c r="S123" s="3">
        <v>3368303</v>
      </c>
      <c r="T123" s="3"/>
      <c r="U123" s="3">
        <v>0</v>
      </c>
      <c r="V123" s="3"/>
      <c r="W123" s="3">
        <v>65339</v>
      </c>
      <c r="X123" s="3"/>
      <c r="Y123" s="3">
        <f>97302+250000</f>
        <v>347302</v>
      </c>
      <c r="Z123" s="3"/>
      <c r="AA123" s="3">
        <f>5046645+352266+2243</f>
        <v>5401154</v>
      </c>
      <c r="AB123" s="3"/>
      <c r="AC123" s="22">
        <f t="shared" si="13"/>
        <v>5813795</v>
      </c>
      <c r="AE123" s="3">
        <f t="shared" si="12"/>
        <v>0</v>
      </c>
    </row>
    <row r="124" spans="1:31" s="16" customFormat="1" ht="12">
      <c r="A124" s="16" t="s">
        <v>233</v>
      </c>
      <c r="C124" s="16" t="s">
        <v>234</v>
      </c>
      <c r="E124" s="16">
        <v>50526</v>
      </c>
      <c r="G124" s="3">
        <v>2032142</v>
      </c>
      <c r="H124" s="3"/>
      <c r="I124" s="3">
        <v>0</v>
      </c>
      <c r="J124" s="3"/>
      <c r="K124" s="8">
        <f t="shared" si="8"/>
        <v>1348430</v>
      </c>
      <c r="L124" s="3"/>
      <c r="M124" s="3">
        <v>3380572</v>
      </c>
      <c r="N124" s="3"/>
      <c r="O124" s="22">
        <f t="shared" si="9"/>
        <v>1635771</v>
      </c>
      <c r="P124" s="3"/>
      <c r="Q124" s="3">
        <v>364001</v>
      </c>
      <c r="R124" s="3"/>
      <c r="S124" s="3">
        <v>1999772</v>
      </c>
      <c r="T124" s="3"/>
      <c r="U124" s="3">
        <v>0</v>
      </c>
      <c r="V124" s="3"/>
      <c r="W124" s="3">
        <f>209739+39307</f>
        <v>249046</v>
      </c>
      <c r="X124" s="3"/>
      <c r="Y124" s="3">
        <v>0</v>
      </c>
      <c r="Z124" s="3"/>
      <c r="AA124" s="3">
        <f>1243929-112175</f>
        <v>1131754</v>
      </c>
      <c r="AB124" s="3"/>
      <c r="AC124" s="22">
        <f t="shared" si="13"/>
        <v>1380800</v>
      </c>
      <c r="AE124" s="3">
        <f t="shared" si="12"/>
        <v>0</v>
      </c>
    </row>
    <row r="125" spans="1:31" s="16" customFormat="1" ht="12">
      <c r="A125" s="16" t="s">
        <v>224</v>
      </c>
      <c r="C125" s="16" t="s">
        <v>225</v>
      </c>
      <c r="E125" s="16">
        <v>50088</v>
      </c>
      <c r="G125" s="3">
        <v>6867453</v>
      </c>
      <c r="H125" s="3"/>
      <c r="I125" s="3">
        <v>0</v>
      </c>
      <c r="J125" s="3"/>
      <c r="K125" s="8">
        <f t="shared" si="8"/>
        <v>913573</v>
      </c>
      <c r="L125" s="3"/>
      <c r="M125" s="3">
        <v>7781026</v>
      </c>
      <c r="N125" s="3"/>
      <c r="O125" s="22">
        <f t="shared" si="9"/>
        <v>2298985</v>
      </c>
      <c r="P125" s="3"/>
      <c r="Q125" s="3">
        <v>856539</v>
      </c>
      <c r="R125" s="3"/>
      <c r="S125" s="3">
        <v>3155524</v>
      </c>
      <c r="T125" s="3"/>
      <c r="U125" s="3">
        <v>0</v>
      </c>
      <c r="V125" s="3"/>
      <c r="W125" s="3">
        <f>20682+11673</f>
        <v>32355</v>
      </c>
      <c r="X125" s="3"/>
      <c r="Y125" s="3">
        <v>0</v>
      </c>
      <c r="Z125" s="3"/>
      <c r="AA125" s="3">
        <f>4575374+17773</f>
        <v>4593147</v>
      </c>
      <c r="AB125" s="3"/>
      <c r="AC125" s="22">
        <f t="shared" si="13"/>
        <v>4625502</v>
      </c>
      <c r="AE125" s="3">
        <f t="shared" si="12"/>
        <v>0</v>
      </c>
    </row>
    <row r="126" spans="1:31" s="16" customFormat="1" ht="12" hidden="1">
      <c r="A126" s="3" t="s">
        <v>385</v>
      </c>
      <c r="C126" s="16" t="s">
        <v>227</v>
      </c>
      <c r="E126" s="16">
        <v>50260</v>
      </c>
      <c r="G126" s="3"/>
      <c r="H126" s="3"/>
      <c r="I126" s="3"/>
      <c r="J126" s="3"/>
      <c r="K126" s="8"/>
      <c r="L126" s="3"/>
      <c r="M126" s="3"/>
      <c r="N126" s="3"/>
      <c r="O126" s="22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22"/>
      <c r="AE126" s="3"/>
    </row>
    <row r="127" spans="1:31" s="16" customFormat="1" ht="12" hidden="1">
      <c r="A127" s="3" t="s">
        <v>352</v>
      </c>
      <c r="C127" s="16" t="s">
        <v>231</v>
      </c>
      <c r="E127" s="16">
        <v>50401</v>
      </c>
      <c r="G127" s="3"/>
      <c r="H127" s="3"/>
      <c r="I127" s="3"/>
      <c r="J127" s="3"/>
      <c r="K127" s="8">
        <f t="shared" si="8"/>
        <v>0</v>
      </c>
      <c r="L127" s="3"/>
      <c r="M127" s="3"/>
      <c r="N127" s="3"/>
      <c r="O127" s="22">
        <f t="shared" si="9"/>
        <v>0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22">
        <f t="shared" si="13"/>
        <v>0</v>
      </c>
      <c r="AE127" s="3">
        <f t="shared" si="12"/>
        <v>0</v>
      </c>
    </row>
    <row r="128" spans="1:31" s="16" customFormat="1" ht="12" hidden="1">
      <c r="A128" s="3" t="s">
        <v>387</v>
      </c>
      <c r="C128" s="16" t="s">
        <v>232</v>
      </c>
      <c r="E128" s="16">
        <v>50476</v>
      </c>
      <c r="G128" s="3"/>
      <c r="H128" s="3"/>
      <c r="I128" s="3"/>
      <c r="J128" s="3"/>
      <c r="K128" s="3"/>
      <c r="L128" s="3"/>
      <c r="M128" s="3"/>
      <c r="N128" s="3"/>
      <c r="O128" s="22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22">
        <f t="shared" si="13"/>
        <v>0</v>
      </c>
      <c r="AE128" s="3">
        <f t="shared" si="12"/>
        <v>0</v>
      </c>
    </row>
    <row r="129" spans="1:31" s="16" customFormat="1" ht="12">
      <c r="A129" s="16" t="s">
        <v>228</v>
      </c>
      <c r="C129" s="16" t="s">
        <v>317</v>
      </c>
      <c r="E129" s="16">
        <v>134999</v>
      </c>
      <c r="G129" s="3">
        <v>873760</v>
      </c>
      <c r="H129" s="3"/>
      <c r="I129" s="3">
        <v>0</v>
      </c>
      <c r="J129" s="3"/>
      <c r="K129" s="8">
        <f>+M129-I129-G129</f>
        <v>133452</v>
      </c>
      <c r="L129" s="3"/>
      <c r="M129" s="3">
        <v>1007212</v>
      </c>
      <c r="N129" s="3"/>
      <c r="O129" s="22">
        <f>+S129-Q129</f>
        <v>570692</v>
      </c>
      <c r="P129" s="3"/>
      <c r="Q129" s="3">
        <v>916</v>
      </c>
      <c r="R129" s="3"/>
      <c r="S129" s="3">
        <v>571608</v>
      </c>
      <c r="T129" s="3"/>
      <c r="U129" s="3">
        <v>0</v>
      </c>
      <c r="V129" s="3"/>
      <c r="W129" s="3">
        <v>9338</v>
      </c>
      <c r="X129" s="3"/>
      <c r="Y129" s="3">
        <v>0</v>
      </c>
      <c r="Z129" s="3"/>
      <c r="AA129" s="3">
        <f>434748-8482</f>
        <v>426266</v>
      </c>
      <c r="AB129" s="3"/>
      <c r="AC129" s="22">
        <f t="shared" si="13"/>
        <v>435604</v>
      </c>
      <c r="AE129" s="3">
        <f t="shared" si="12"/>
        <v>0</v>
      </c>
    </row>
    <row r="130" spans="1:31" s="16" customFormat="1" ht="12">
      <c r="A130" s="16" t="s">
        <v>235</v>
      </c>
      <c r="C130" s="16" t="s">
        <v>236</v>
      </c>
      <c r="E130" s="16">
        <v>50666</v>
      </c>
      <c r="G130" s="3">
        <v>6664339</v>
      </c>
      <c r="H130" s="3"/>
      <c r="I130" s="3">
        <v>0</v>
      </c>
      <c r="J130" s="3"/>
      <c r="K130" s="8">
        <f t="shared" si="8"/>
        <v>374908</v>
      </c>
      <c r="L130" s="3"/>
      <c r="M130" s="3">
        <v>7039247</v>
      </c>
      <c r="N130" s="3"/>
      <c r="O130" s="22">
        <f t="shared" si="9"/>
        <v>2122743</v>
      </c>
      <c r="P130" s="3"/>
      <c r="Q130" s="3">
        <v>157681</v>
      </c>
      <c r="R130" s="3"/>
      <c r="S130" s="3">
        <v>2280424</v>
      </c>
      <c r="T130" s="3"/>
      <c r="U130" s="3">
        <v>0</v>
      </c>
      <c r="V130" s="3"/>
      <c r="W130" s="3">
        <f>4758823-2974624</f>
        <v>1784199</v>
      </c>
      <c r="X130" s="3"/>
      <c r="Y130" s="3">
        <v>0</v>
      </c>
      <c r="Z130" s="3"/>
      <c r="AA130" s="3">
        <v>2974624</v>
      </c>
      <c r="AB130" s="3"/>
      <c r="AC130" s="22">
        <f t="shared" si="13"/>
        <v>4758823</v>
      </c>
      <c r="AE130" s="3">
        <f t="shared" si="12"/>
        <v>0</v>
      </c>
    </row>
    <row r="131" spans="1:31" s="16" customFormat="1" ht="12"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</row>
    <row r="132" spans="1:31" s="16" customFormat="1" ht="12"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</row>
    <row r="133" spans="1:31" s="16" customFormat="1" ht="12"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</row>
    <row r="134" spans="1:31"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31"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31"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31">
      <c r="G137" s="3"/>
      <c r="H137" s="3"/>
      <c r="I137" s="3"/>
      <c r="J137" s="3"/>
      <c r="K137" s="8"/>
      <c r="L137" s="3"/>
      <c r="M137" s="3"/>
      <c r="N137" s="3"/>
      <c r="O137" s="8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22"/>
    </row>
    <row r="138" spans="1:31"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1:31"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</sheetData>
  <mergeCells count="3">
    <mergeCell ref="G7:K7"/>
    <mergeCell ref="O7:Q7"/>
    <mergeCell ref="W7:AA7"/>
  </mergeCells>
  <phoneticPr fontId="3" type="noConversion"/>
  <pageMargins left="0.9" right="0.75" top="0.5" bottom="0.5" header="0.25" footer="0.25"/>
  <pageSetup scale="80" firstPageNumber="42" pageOrder="overThenDown" orientation="portrait" useFirstPageNumber="1" r:id="rId1"/>
  <headerFooter scaleWithDoc="0" alignWithMargins="0">
    <oddFooter>&amp;C&amp;"Times New Roman,Regular"&amp;12&amp;P</oddFooter>
  </headerFooter>
  <rowBreaks count="1" manualBreakCount="1">
    <brk id="66" max="28" man="1"/>
  </rowBreaks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C203"/>
  <sheetViews>
    <sheetView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G12" sqref="G12"/>
    </sheetView>
  </sheetViews>
  <sheetFormatPr defaultRowHeight="12.75"/>
  <cols>
    <col min="1" max="1" width="40.7109375" style="18" customWidth="1"/>
    <col min="2" max="2" width="1.7109375" style="18" customWidth="1"/>
    <col min="3" max="3" width="8.7109375" style="18" customWidth="1"/>
    <col min="4" max="4" width="1.7109375" style="18" hidden="1" customWidth="1"/>
    <col min="5" max="5" width="11.7109375" style="18" hidden="1" customWidth="1"/>
    <col min="6" max="6" width="1.7109375" style="18" customWidth="1"/>
    <col min="7" max="7" width="12.28515625" style="18" customWidth="1"/>
    <col min="8" max="8" width="1.7109375" style="18" hidden="1" customWidth="1"/>
    <col min="9" max="9" width="11.7109375" style="18" hidden="1" customWidth="1"/>
    <col min="10" max="10" width="2.5703125" style="18" customWidth="1"/>
    <col min="11" max="11" width="11.85546875" style="18" customWidth="1"/>
    <col min="12" max="12" width="1.7109375" style="18" customWidth="1"/>
    <col min="13" max="13" width="10.7109375" style="18" customWidth="1"/>
    <col min="14" max="14" width="1.7109375" style="18" customWidth="1"/>
    <col min="15" max="15" width="10.7109375" style="18" customWidth="1"/>
    <col min="16" max="16" width="1.7109375" style="18" customWidth="1"/>
    <col min="17" max="17" width="11.7109375" style="18" customWidth="1"/>
    <col min="18" max="18" width="1.7109375" style="18" customWidth="1"/>
    <col min="19" max="19" width="11.7109375" style="18" customWidth="1"/>
    <col min="20" max="20" width="1.7109375" style="18" customWidth="1"/>
    <col min="21" max="21" width="11.7109375" style="18" customWidth="1"/>
    <col min="22" max="22" width="1.7109375" style="18" customWidth="1"/>
    <col min="23" max="23" width="11.7109375" style="18" customWidth="1"/>
    <col min="24" max="24" width="1.7109375" style="18" customWidth="1"/>
    <col min="25" max="25" width="11.7109375" style="18" customWidth="1"/>
    <col min="26" max="26" width="1.7109375" style="18" customWidth="1"/>
    <col min="27" max="27" width="11.7109375" style="18" customWidth="1"/>
    <col min="28" max="28" width="1.7109375" style="18" customWidth="1"/>
    <col min="29" max="29" width="10.7109375" style="18" customWidth="1"/>
    <col min="30" max="30" width="1.7109375" style="18" customWidth="1"/>
    <col min="31" max="31" width="11.7109375" style="18" customWidth="1"/>
    <col min="32" max="32" width="1.7109375" style="18" hidden="1" customWidth="1"/>
    <col min="33" max="33" width="11.7109375" style="18" hidden="1" customWidth="1"/>
    <col min="34" max="34" width="40.7109375" style="18" customWidth="1"/>
    <col min="35" max="35" width="1.7109375" style="18" customWidth="1"/>
    <col min="36" max="36" width="8.7109375" style="18" customWidth="1"/>
    <col min="37" max="37" width="1.7109375" style="18" customWidth="1"/>
    <col min="38" max="38" width="10.7109375" style="18" customWidth="1"/>
    <col min="39" max="39" width="1.7109375" style="18" customWidth="1"/>
    <col min="40" max="40" width="12.7109375" style="18" customWidth="1"/>
    <col min="41" max="41" width="1.7109375" style="18" hidden="1" customWidth="1"/>
    <col min="42" max="42" width="11.7109375" style="18" hidden="1" customWidth="1"/>
    <col min="43" max="43" width="1.85546875" style="18" customWidth="1"/>
    <col min="44" max="44" width="12.28515625" style="18" customWidth="1"/>
    <col min="45" max="45" width="1.7109375" style="18" customWidth="1"/>
    <col min="46" max="46" width="11.140625" style="18" customWidth="1"/>
    <col min="47" max="47" width="2.140625" style="18" customWidth="1"/>
    <col min="48" max="48" width="11.7109375" style="18" customWidth="1"/>
    <col min="49" max="49" width="2.140625" style="18" customWidth="1"/>
    <col min="50" max="50" width="13.7109375" style="18" customWidth="1"/>
    <col min="51" max="51" width="1.28515625" style="18" customWidth="1"/>
    <col min="52" max="16384" width="9.140625" style="18"/>
  </cols>
  <sheetData>
    <row r="1" spans="1:55" s="7" customFormat="1" ht="12">
      <c r="A1" s="4" t="s">
        <v>132</v>
      </c>
      <c r="B1" s="4"/>
      <c r="C1" s="4"/>
      <c r="D1" s="4"/>
      <c r="E1" s="4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60"/>
      <c r="AC1" s="60"/>
      <c r="AD1" s="60"/>
      <c r="AE1" s="60"/>
      <c r="AF1" s="60"/>
      <c r="AG1" s="60"/>
      <c r="AH1" s="4" t="s">
        <v>132</v>
      </c>
      <c r="AI1" s="4"/>
      <c r="AJ1" s="4"/>
      <c r="AK1" s="60"/>
      <c r="AL1" s="60"/>
      <c r="AM1" s="60"/>
      <c r="AN1" s="60"/>
      <c r="AO1" s="60"/>
      <c r="AP1" s="60"/>
      <c r="AQ1" s="60"/>
      <c r="AR1" s="60"/>
    </row>
    <row r="2" spans="1:55" s="7" customFormat="1" ht="12">
      <c r="A2" s="4" t="s">
        <v>358</v>
      </c>
      <c r="B2" s="4"/>
      <c r="C2" s="4"/>
      <c r="D2" s="4"/>
      <c r="E2" s="4"/>
      <c r="F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60"/>
      <c r="AC2" s="60"/>
      <c r="AD2" s="60"/>
      <c r="AE2" s="60"/>
      <c r="AF2" s="60"/>
      <c r="AG2" s="60"/>
      <c r="AH2" s="4" t="s">
        <v>358</v>
      </c>
      <c r="AI2" s="4"/>
      <c r="AJ2" s="4"/>
      <c r="AK2" s="60"/>
      <c r="AL2" s="60"/>
      <c r="AM2" s="60"/>
      <c r="AN2" s="60"/>
      <c r="AO2" s="60"/>
      <c r="AP2" s="60"/>
      <c r="AQ2" s="60"/>
      <c r="AR2" s="60"/>
    </row>
    <row r="3" spans="1:55" s="7" customFormat="1" ht="12">
      <c r="A3" s="48"/>
      <c r="B3" s="4"/>
      <c r="C3" s="4"/>
      <c r="D3" s="4"/>
      <c r="E3" s="4"/>
      <c r="F3" s="56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60"/>
      <c r="AC3" s="60"/>
      <c r="AD3" s="60"/>
      <c r="AE3" s="60"/>
      <c r="AF3" s="60"/>
      <c r="AG3" s="60"/>
      <c r="AH3" s="48" t="s">
        <v>310</v>
      </c>
      <c r="AI3" s="4"/>
      <c r="AJ3" s="4"/>
      <c r="AK3" s="60"/>
      <c r="AL3" s="60"/>
      <c r="AM3" s="60"/>
      <c r="AN3" s="60"/>
      <c r="AO3" s="60"/>
      <c r="AP3" s="60"/>
      <c r="AQ3" s="60"/>
      <c r="AR3" s="60"/>
    </row>
    <row r="4" spans="1:55" s="3" customFormat="1" ht="12">
      <c r="A4" s="19" t="s">
        <v>316</v>
      </c>
      <c r="B4" s="4"/>
      <c r="C4" s="4"/>
      <c r="D4" s="4"/>
      <c r="E4" s="4"/>
      <c r="F4" s="1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7"/>
      <c r="AC4" s="17"/>
      <c r="AD4" s="17"/>
      <c r="AE4" s="17"/>
      <c r="AF4" s="17"/>
      <c r="AG4" s="17"/>
      <c r="AH4" s="19" t="s">
        <v>316</v>
      </c>
      <c r="AI4" s="4"/>
      <c r="AJ4" s="4"/>
      <c r="AK4" s="17"/>
      <c r="AL4" s="17"/>
      <c r="AM4" s="17"/>
      <c r="AN4" s="17"/>
      <c r="AO4" s="17"/>
      <c r="AP4" s="17"/>
      <c r="AQ4" s="17"/>
      <c r="AR4" s="17"/>
    </row>
    <row r="5" spans="1:55" s="3" customFormat="1" ht="12">
      <c r="A5" s="19"/>
      <c r="B5" s="4"/>
      <c r="C5" s="4"/>
      <c r="D5" s="4"/>
      <c r="E5" s="4"/>
      <c r="F5" s="1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7"/>
      <c r="AC5" s="17"/>
      <c r="AD5" s="17"/>
      <c r="AE5" s="17"/>
      <c r="AF5" s="17"/>
      <c r="AG5" s="17"/>
      <c r="AH5" s="19"/>
      <c r="AI5" s="4"/>
      <c r="AJ5" s="4"/>
      <c r="AK5" s="17"/>
      <c r="AL5" s="17"/>
      <c r="AM5" s="17"/>
      <c r="AN5" s="17"/>
      <c r="AO5" s="17"/>
      <c r="AP5" s="17"/>
      <c r="AQ5" s="17"/>
      <c r="AR5" s="17"/>
    </row>
    <row r="6" spans="1:55" s="7" customFormat="1" ht="12">
      <c r="A6" s="48"/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AI6" s="5"/>
      <c r="AJ6" s="5"/>
      <c r="AR6" s="11"/>
      <c r="AX6" s="11" t="s">
        <v>8</v>
      </c>
    </row>
    <row r="7" spans="1:55" s="11" customFormat="1" ht="12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3" t="s">
        <v>102</v>
      </c>
      <c r="AB7" s="73"/>
      <c r="AC7" s="73"/>
      <c r="AD7" s="73"/>
      <c r="AE7" s="73"/>
      <c r="AF7" s="71"/>
      <c r="AG7" s="71"/>
      <c r="AI7" s="2"/>
      <c r="AJ7" s="2"/>
      <c r="AK7" s="5"/>
      <c r="AL7" s="73" t="s">
        <v>394</v>
      </c>
      <c r="AM7" s="73"/>
      <c r="AN7" s="73"/>
      <c r="AO7" s="73"/>
      <c r="AP7" s="73"/>
      <c r="AQ7" s="73"/>
      <c r="AR7" s="73"/>
      <c r="AV7" s="11" t="s">
        <v>8</v>
      </c>
      <c r="AX7" s="11" t="s">
        <v>333</v>
      </c>
    </row>
    <row r="8" spans="1:55" s="11" customFormat="1" ht="12">
      <c r="A8" s="20"/>
      <c r="B8" s="2"/>
      <c r="C8" s="2"/>
      <c r="D8" s="2"/>
      <c r="E8" s="2"/>
      <c r="F8" s="2"/>
      <c r="G8" s="2" t="s">
        <v>276</v>
      </c>
      <c r="H8" s="2"/>
      <c r="I8" s="2"/>
      <c r="J8" s="2"/>
      <c r="K8" s="2"/>
      <c r="L8" s="2"/>
      <c r="M8" s="2"/>
      <c r="N8" s="2"/>
      <c r="O8" s="2"/>
      <c r="P8" s="2"/>
      <c r="Q8" s="2" t="s">
        <v>29</v>
      </c>
      <c r="R8" s="2"/>
      <c r="S8" s="2" t="s">
        <v>103</v>
      </c>
      <c r="T8" s="2"/>
      <c r="U8" s="2" t="s">
        <v>31</v>
      </c>
      <c r="V8" s="2"/>
      <c r="W8" s="2"/>
      <c r="X8" s="2"/>
      <c r="Y8" s="2"/>
      <c r="Z8" s="2"/>
      <c r="AH8" s="2"/>
      <c r="AI8" s="2"/>
      <c r="AJ8" s="2"/>
      <c r="AL8" s="11" t="s">
        <v>268</v>
      </c>
      <c r="AN8" s="11" t="s">
        <v>258</v>
      </c>
      <c r="AP8" s="11" t="s">
        <v>264</v>
      </c>
      <c r="AR8" s="11" t="s">
        <v>71</v>
      </c>
      <c r="AV8" s="11" t="s">
        <v>87</v>
      </c>
      <c r="AX8" s="11" t="s">
        <v>334</v>
      </c>
    </row>
    <row r="9" spans="1:55" s="11" customFormat="1" ht="12">
      <c r="A9" s="2"/>
      <c r="B9" s="2"/>
      <c r="C9" s="2"/>
      <c r="D9" s="2"/>
      <c r="E9" s="2"/>
      <c r="F9" s="2"/>
      <c r="G9" s="2" t="s">
        <v>277</v>
      </c>
      <c r="H9" s="2"/>
      <c r="I9" s="2" t="s">
        <v>133</v>
      </c>
      <c r="J9" s="2"/>
      <c r="K9" s="2" t="s">
        <v>104</v>
      </c>
      <c r="L9" s="2"/>
      <c r="M9" s="2"/>
      <c r="N9" s="2"/>
      <c r="O9" s="2" t="s">
        <v>39</v>
      </c>
      <c r="P9" s="2"/>
      <c r="Q9" s="2" t="s">
        <v>40</v>
      </c>
      <c r="R9" s="2"/>
      <c r="S9" s="2" t="s">
        <v>105</v>
      </c>
      <c r="T9" s="2"/>
      <c r="U9" s="2" t="s">
        <v>42</v>
      </c>
      <c r="V9" s="2"/>
      <c r="W9" s="2" t="s">
        <v>71</v>
      </c>
      <c r="X9" s="2"/>
      <c r="Y9" s="2" t="s">
        <v>8</v>
      </c>
      <c r="Z9" s="2"/>
      <c r="AA9" s="2"/>
      <c r="AC9" s="11" t="s">
        <v>106</v>
      </c>
      <c r="AE9" s="11" t="s">
        <v>107</v>
      </c>
      <c r="AH9" s="2"/>
      <c r="AI9" s="2"/>
      <c r="AJ9" s="2"/>
      <c r="AL9" s="11" t="s">
        <v>269</v>
      </c>
      <c r="AN9" s="11" t="s">
        <v>260</v>
      </c>
      <c r="AP9" s="11" t="s">
        <v>265</v>
      </c>
      <c r="AR9" s="11" t="s">
        <v>108</v>
      </c>
      <c r="AT9" s="11" t="s">
        <v>32</v>
      </c>
      <c r="AV9" s="11" t="s">
        <v>108</v>
      </c>
      <c r="AX9" s="11" t="s">
        <v>335</v>
      </c>
    </row>
    <row r="10" spans="1:55" s="11" customFormat="1" ht="12">
      <c r="A10" s="28" t="s">
        <v>354</v>
      </c>
      <c r="C10" s="28" t="s">
        <v>12</v>
      </c>
      <c r="E10" s="28" t="s">
        <v>13</v>
      </c>
      <c r="F10" s="2"/>
      <c r="G10" s="28" t="s">
        <v>48</v>
      </c>
      <c r="H10" s="2"/>
      <c r="I10" s="28" t="s">
        <v>48</v>
      </c>
      <c r="J10" s="28"/>
      <c r="K10" s="28" t="s">
        <v>109</v>
      </c>
      <c r="L10" s="2"/>
      <c r="M10" s="28" t="s">
        <v>88</v>
      </c>
      <c r="N10" s="2"/>
      <c r="O10" s="28" t="s">
        <v>51</v>
      </c>
      <c r="P10" s="2"/>
      <c r="Q10" s="28" t="s">
        <v>52</v>
      </c>
      <c r="R10" s="2"/>
      <c r="S10" s="28" t="s">
        <v>110</v>
      </c>
      <c r="T10" s="2"/>
      <c r="U10" s="28" t="s">
        <v>53</v>
      </c>
      <c r="V10" s="2"/>
      <c r="W10" s="28" t="s">
        <v>99</v>
      </c>
      <c r="X10" s="2"/>
      <c r="Y10" s="28" t="s">
        <v>33</v>
      </c>
      <c r="Z10" s="2"/>
      <c r="AA10" s="28" t="s">
        <v>111</v>
      </c>
      <c r="AB10" s="2"/>
      <c r="AC10" s="28" t="s">
        <v>113</v>
      </c>
      <c r="AE10" s="28" t="s">
        <v>113</v>
      </c>
      <c r="AG10" s="28" t="s">
        <v>112</v>
      </c>
      <c r="AH10" s="28" t="s">
        <v>354</v>
      </c>
      <c r="AJ10" s="28" t="s">
        <v>12</v>
      </c>
      <c r="AK10" s="2"/>
      <c r="AL10" s="28" t="s">
        <v>259</v>
      </c>
      <c r="AN10" s="28" t="s">
        <v>17</v>
      </c>
      <c r="AP10" s="11" t="s">
        <v>120</v>
      </c>
      <c r="AR10" s="28" t="s">
        <v>114</v>
      </c>
      <c r="AT10" s="28" t="s">
        <v>282</v>
      </c>
      <c r="AV10" s="28" t="s">
        <v>114</v>
      </c>
      <c r="AX10" s="28" t="s">
        <v>282</v>
      </c>
    </row>
    <row r="11" spans="1:55" s="11" customFormat="1" ht="12">
      <c r="A11" s="2"/>
      <c r="C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E11" s="2"/>
      <c r="AG11" s="2"/>
      <c r="AH11" s="2"/>
      <c r="AJ11" s="2"/>
      <c r="AK11" s="2"/>
      <c r="AL11" s="2"/>
      <c r="AN11" s="2"/>
      <c r="AR11" s="2"/>
      <c r="AV11" s="2"/>
      <c r="AX11" s="2"/>
    </row>
    <row r="12" spans="1:55">
      <c r="A12" s="39" t="s">
        <v>308</v>
      </c>
      <c r="AH12" s="39" t="s">
        <v>308</v>
      </c>
    </row>
    <row r="13" spans="1:55">
      <c r="A13" s="39"/>
      <c r="AH13" s="39"/>
    </row>
    <row r="14" spans="1:55">
      <c r="A14" s="3" t="s">
        <v>359</v>
      </c>
      <c r="B14" s="3"/>
      <c r="C14" s="3" t="s">
        <v>321</v>
      </c>
      <c r="G14" s="62">
        <v>3576750</v>
      </c>
      <c r="H14" s="62"/>
      <c r="I14" s="62">
        <v>0</v>
      </c>
      <c r="J14" s="62"/>
      <c r="K14" s="62">
        <v>7605570</v>
      </c>
      <c r="L14" s="62"/>
      <c r="M14" s="62">
        <v>122734</v>
      </c>
      <c r="N14" s="62"/>
      <c r="O14" s="62">
        <v>3703103</v>
      </c>
      <c r="P14" s="62"/>
      <c r="Q14" s="62">
        <v>0</v>
      </c>
      <c r="R14" s="62"/>
      <c r="S14" s="62">
        <v>0</v>
      </c>
      <c r="T14" s="62"/>
      <c r="U14" s="62">
        <v>0</v>
      </c>
      <c r="V14" s="62"/>
      <c r="W14" s="62">
        <f>714495+433590</f>
        <v>1148085</v>
      </c>
      <c r="X14" s="62"/>
      <c r="Y14" s="64">
        <f>SUM(G14:X14)</f>
        <v>16156242</v>
      </c>
      <c r="Z14" s="62"/>
      <c r="AA14" s="62">
        <v>50000</v>
      </c>
      <c r="AB14" s="62"/>
      <c r="AC14" s="62">
        <v>0</v>
      </c>
      <c r="AD14" s="62"/>
      <c r="AE14" s="62">
        <v>0</v>
      </c>
      <c r="AF14" s="62"/>
      <c r="AG14" s="62">
        <v>0</v>
      </c>
      <c r="AH14" s="3" t="s">
        <v>359</v>
      </c>
      <c r="AI14" s="3"/>
      <c r="AJ14" s="3" t="s">
        <v>321</v>
      </c>
      <c r="AK14" s="62"/>
      <c r="AL14" s="62">
        <v>0</v>
      </c>
      <c r="AM14" s="62"/>
      <c r="AN14" s="62">
        <v>0</v>
      </c>
      <c r="AO14" s="62"/>
      <c r="AP14" s="62">
        <v>0</v>
      </c>
      <c r="AQ14" s="62"/>
      <c r="AR14" s="62">
        <v>0</v>
      </c>
      <c r="AS14" s="62"/>
      <c r="AT14" s="62">
        <v>0</v>
      </c>
      <c r="AU14" s="62"/>
      <c r="AV14" s="64">
        <f t="shared" ref="AV14:AV20" si="0">SUM(AA14:AT14)</f>
        <v>50000</v>
      </c>
      <c r="AW14" s="62"/>
      <c r="AX14" s="64">
        <f t="shared" ref="AX14:AX45" si="1">+AV14+Y14</f>
        <v>16206242</v>
      </c>
      <c r="AY14" s="34"/>
      <c r="AZ14" s="34"/>
      <c r="BA14" s="34"/>
      <c r="BB14" s="34"/>
      <c r="BC14" s="34"/>
    </row>
    <row r="15" spans="1:55" s="16" customFormat="1" ht="12">
      <c r="A15" s="3" t="s">
        <v>286</v>
      </c>
      <c r="B15" s="3"/>
      <c r="C15" s="3" t="s">
        <v>151</v>
      </c>
      <c r="D15" s="3"/>
      <c r="E15" s="3">
        <v>62042</v>
      </c>
      <c r="F15" s="3"/>
      <c r="G15" s="17">
        <v>2796765</v>
      </c>
      <c r="H15" s="17"/>
      <c r="I15" s="17"/>
      <c r="J15" s="17"/>
      <c r="K15" s="17">
        <v>4281510</v>
      </c>
      <c r="L15" s="17"/>
      <c r="M15" s="17">
        <v>10419</v>
      </c>
      <c r="N15" s="17"/>
      <c r="O15" s="17">
        <v>835345</v>
      </c>
      <c r="P15" s="17"/>
      <c r="Q15" s="17">
        <v>0</v>
      </c>
      <c r="R15" s="17"/>
      <c r="S15" s="17">
        <v>0</v>
      </c>
      <c r="T15" s="17"/>
      <c r="U15" s="17">
        <v>3279</v>
      </c>
      <c r="V15" s="17"/>
      <c r="W15" s="17">
        <f>47407+148698+3025</f>
        <v>199130</v>
      </c>
      <c r="X15" s="17"/>
      <c r="Y15" s="23">
        <f>SUM(G15:X15)</f>
        <v>8126448</v>
      </c>
      <c r="Z15" s="17"/>
      <c r="AA15" s="17">
        <v>97350</v>
      </c>
      <c r="AB15" s="17"/>
      <c r="AC15" s="17">
        <v>0</v>
      </c>
      <c r="AD15" s="17"/>
      <c r="AE15" s="17">
        <v>0</v>
      </c>
      <c r="AF15" s="17"/>
      <c r="AG15" s="17">
        <v>0</v>
      </c>
      <c r="AH15" s="3" t="s">
        <v>286</v>
      </c>
      <c r="AJ15" s="16" t="s">
        <v>151</v>
      </c>
      <c r="AK15" s="17"/>
      <c r="AL15" s="17">
        <v>0</v>
      </c>
      <c r="AM15" s="17"/>
      <c r="AN15" s="17">
        <v>0</v>
      </c>
      <c r="AO15" s="17"/>
      <c r="AP15" s="17">
        <v>0</v>
      </c>
      <c r="AQ15" s="17"/>
      <c r="AR15" s="17">
        <v>0</v>
      </c>
      <c r="AS15" s="17"/>
      <c r="AT15" s="17">
        <v>0</v>
      </c>
      <c r="AU15" s="17"/>
      <c r="AV15" s="23">
        <f t="shared" si="0"/>
        <v>97350</v>
      </c>
      <c r="AW15" s="17"/>
      <c r="AX15" s="23">
        <f t="shared" si="1"/>
        <v>8223798</v>
      </c>
    </row>
    <row r="16" spans="1:55" s="16" customFormat="1" ht="12">
      <c r="A16" s="3" t="s">
        <v>237</v>
      </c>
      <c r="B16" s="3"/>
      <c r="C16" s="3" t="s">
        <v>152</v>
      </c>
      <c r="D16" s="3"/>
      <c r="E16" s="3">
        <v>50815</v>
      </c>
      <c r="F16" s="3"/>
      <c r="G16" s="17">
        <v>3937362</v>
      </c>
      <c r="H16" s="17"/>
      <c r="I16" s="17"/>
      <c r="J16" s="17"/>
      <c r="K16" s="17">
        <v>10181039</v>
      </c>
      <c r="L16" s="17"/>
      <c r="M16" s="17">
        <v>87859</v>
      </c>
      <c r="N16" s="17"/>
      <c r="O16" s="17">
        <v>598179</v>
      </c>
      <c r="P16" s="17"/>
      <c r="Q16" s="17">
        <v>17293</v>
      </c>
      <c r="R16" s="17"/>
      <c r="S16" s="17">
        <v>0</v>
      </c>
      <c r="T16" s="17"/>
      <c r="U16" s="17">
        <v>5682</v>
      </c>
      <c r="V16" s="17"/>
      <c r="W16" s="17">
        <f>72492+19835+582220</f>
        <v>674547</v>
      </c>
      <c r="X16" s="17"/>
      <c r="Y16" s="23">
        <f>SUM(G16:X16)</f>
        <v>15501961</v>
      </c>
      <c r="Z16" s="17"/>
      <c r="AA16" s="17">
        <v>113000</v>
      </c>
      <c r="AB16" s="17"/>
      <c r="AC16" s="17">
        <v>0</v>
      </c>
      <c r="AD16" s="17"/>
      <c r="AE16" s="17">
        <v>0</v>
      </c>
      <c r="AF16" s="17"/>
      <c r="AG16" s="17">
        <v>0</v>
      </c>
      <c r="AH16" s="3" t="s">
        <v>237</v>
      </c>
      <c r="AJ16" s="16" t="s">
        <v>152</v>
      </c>
      <c r="AK16" s="17"/>
      <c r="AL16" s="17">
        <v>0</v>
      </c>
      <c r="AM16" s="17"/>
      <c r="AN16" s="17">
        <v>0</v>
      </c>
      <c r="AO16" s="17"/>
      <c r="AP16" s="17">
        <v>0</v>
      </c>
      <c r="AQ16" s="17"/>
      <c r="AR16" s="17">
        <v>0</v>
      </c>
      <c r="AS16" s="17"/>
      <c r="AT16" s="17">
        <v>0</v>
      </c>
      <c r="AU16" s="17"/>
      <c r="AV16" s="23">
        <f t="shared" si="0"/>
        <v>113000</v>
      </c>
      <c r="AW16" s="17"/>
      <c r="AX16" s="23">
        <f t="shared" si="1"/>
        <v>15614961</v>
      </c>
    </row>
    <row r="17" spans="1:51" s="16" customFormat="1">
      <c r="A17" s="3" t="s">
        <v>360</v>
      </c>
      <c r="B17" s="3"/>
      <c r="C17" s="3" t="s">
        <v>154</v>
      </c>
      <c r="D17" s="3"/>
      <c r="E17" s="3">
        <v>51169</v>
      </c>
      <c r="F17" s="3"/>
      <c r="G17" s="3">
        <v>6208038</v>
      </c>
      <c r="H17" s="3"/>
      <c r="I17" s="3"/>
      <c r="J17" s="3"/>
      <c r="K17" s="3">
        <v>3964715</v>
      </c>
      <c r="L17" s="3"/>
      <c r="M17" s="3">
        <v>47532</v>
      </c>
      <c r="N17" s="3"/>
      <c r="O17" s="3">
        <v>1442365</v>
      </c>
      <c r="P17" s="3"/>
      <c r="Q17" s="3">
        <v>633</v>
      </c>
      <c r="R17" s="3"/>
      <c r="S17" s="3">
        <v>0</v>
      </c>
      <c r="T17" s="3"/>
      <c r="U17" s="3">
        <v>1000</v>
      </c>
      <c r="V17" s="3"/>
      <c r="W17" s="3">
        <f>177608+80674+377736</f>
        <v>636018</v>
      </c>
      <c r="X17" s="3"/>
      <c r="Y17" s="23">
        <f>SUM(G17:X17)</f>
        <v>12300301</v>
      </c>
      <c r="Z17" s="3"/>
      <c r="AA17" s="3">
        <v>65819</v>
      </c>
      <c r="AB17" s="3"/>
      <c r="AC17" s="3">
        <v>0</v>
      </c>
      <c r="AD17" s="3"/>
      <c r="AE17" s="3">
        <v>0</v>
      </c>
      <c r="AF17" s="3"/>
      <c r="AG17" s="3">
        <v>0</v>
      </c>
      <c r="AH17" s="3" t="s">
        <v>360</v>
      </c>
      <c r="AJ17" s="16" t="s">
        <v>154</v>
      </c>
      <c r="AK17" s="3"/>
      <c r="AL17" s="3">
        <v>0</v>
      </c>
      <c r="AM17" s="3"/>
      <c r="AN17" s="3">
        <v>0</v>
      </c>
      <c r="AO17" s="3"/>
      <c r="AP17" s="3">
        <v>0</v>
      </c>
      <c r="AQ17" s="3"/>
      <c r="AR17" s="3">
        <v>0</v>
      </c>
      <c r="AS17" s="3"/>
      <c r="AT17" s="3">
        <v>0</v>
      </c>
      <c r="AU17" s="3"/>
      <c r="AV17" s="23">
        <f t="shared" si="0"/>
        <v>65819</v>
      </c>
      <c r="AW17" s="21"/>
      <c r="AX17" s="23">
        <f t="shared" si="1"/>
        <v>12366120</v>
      </c>
      <c r="AY17" s="18"/>
    </row>
    <row r="18" spans="1:51" s="16" customFormat="1" ht="12">
      <c r="A18" s="3" t="s">
        <v>361</v>
      </c>
      <c r="B18" s="3"/>
      <c r="C18" s="3" t="s">
        <v>157</v>
      </c>
      <c r="D18" s="3"/>
      <c r="E18" s="3">
        <v>50856</v>
      </c>
      <c r="F18" s="3"/>
      <c r="G18" s="17">
        <v>1474767</v>
      </c>
      <c r="H18" s="17"/>
      <c r="I18" s="17"/>
      <c r="J18" s="17"/>
      <c r="K18" s="17">
        <v>5061181</v>
      </c>
      <c r="L18" s="17"/>
      <c r="M18" s="17">
        <v>3731</v>
      </c>
      <c r="N18" s="17"/>
      <c r="O18" s="17">
        <v>218738</v>
      </c>
      <c r="P18" s="17"/>
      <c r="Q18" s="17">
        <v>16676</v>
      </c>
      <c r="R18" s="17"/>
      <c r="S18" s="17">
        <v>0</v>
      </c>
      <c r="T18" s="17"/>
      <c r="U18" s="17">
        <v>0</v>
      </c>
      <c r="V18" s="17"/>
      <c r="W18" s="17">
        <f>12000+42336+32153</f>
        <v>86489</v>
      </c>
      <c r="X18" s="17"/>
      <c r="Y18" s="23">
        <f>SUM(G18:X18)</f>
        <v>6861582</v>
      </c>
      <c r="Z18" s="17"/>
      <c r="AA18" s="17">
        <v>0</v>
      </c>
      <c r="AB18" s="17"/>
      <c r="AC18" s="17">
        <v>0</v>
      </c>
      <c r="AD18" s="17"/>
      <c r="AE18" s="17">
        <v>0</v>
      </c>
      <c r="AF18" s="17"/>
      <c r="AG18" s="17">
        <v>0</v>
      </c>
      <c r="AH18" s="3" t="s">
        <v>361</v>
      </c>
      <c r="AJ18" s="16" t="s">
        <v>157</v>
      </c>
      <c r="AK18" s="17"/>
      <c r="AL18" s="17">
        <v>0</v>
      </c>
      <c r="AM18" s="17"/>
      <c r="AN18" s="17">
        <v>7440</v>
      </c>
      <c r="AO18" s="17"/>
      <c r="AP18" s="17">
        <v>0</v>
      </c>
      <c r="AQ18" s="17"/>
      <c r="AR18" s="17">
        <v>0</v>
      </c>
      <c r="AS18" s="17"/>
      <c r="AT18" s="17">
        <v>0</v>
      </c>
      <c r="AU18" s="17"/>
      <c r="AV18" s="23">
        <f t="shared" si="0"/>
        <v>7440</v>
      </c>
      <c r="AW18" s="17"/>
      <c r="AX18" s="23">
        <f t="shared" si="1"/>
        <v>6869022</v>
      </c>
    </row>
    <row r="19" spans="1:51" s="16" customFormat="1" ht="12">
      <c r="A19" s="3" t="s">
        <v>256</v>
      </c>
      <c r="B19" s="3"/>
      <c r="C19" s="3" t="s">
        <v>227</v>
      </c>
      <c r="D19" s="3"/>
      <c r="E19" s="3">
        <v>51656</v>
      </c>
      <c r="F19" s="3"/>
      <c r="G19" s="17">
        <v>4498948</v>
      </c>
      <c r="H19" s="17"/>
      <c r="I19" s="17"/>
      <c r="J19" s="17"/>
      <c r="K19" s="17">
        <f>7867114+952407</f>
        <v>8819521</v>
      </c>
      <c r="L19" s="17"/>
      <c r="M19" s="17">
        <v>135997</v>
      </c>
      <c r="N19" s="17"/>
      <c r="O19" s="17">
        <v>2063187</v>
      </c>
      <c r="P19" s="17"/>
      <c r="Q19" s="17">
        <v>0</v>
      </c>
      <c r="R19" s="17"/>
      <c r="S19" s="17">
        <v>0</v>
      </c>
      <c r="T19" s="17"/>
      <c r="U19" s="17">
        <v>450</v>
      </c>
      <c r="V19" s="17"/>
      <c r="W19" s="17">
        <f>30621+225283+74168+218744</f>
        <v>548816</v>
      </c>
      <c r="X19" s="17"/>
      <c r="Y19" s="23">
        <f t="shared" ref="Y19:Y64" si="2">SUM(G19:X19)</f>
        <v>16066919</v>
      </c>
      <c r="Z19" s="17"/>
      <c r="AA19" s="17">
        <v>45400</v>
      </c>
      <c r="AB19" s="17"/>
      <c r="AC19" s="17">
        <v>0</v>
      </c>
      <c r="AD19" s="17"/>
      <c r="AE19" s="17">
        <v>0</v>
      </c>
      <c r="AF19" s="17"/>
      <c r="AG19" s="17">
        <v>0</v>
      </c>
      <c r="AH19" s="3" t="s">
        <v>256</v>
      </c>
      <c r="AJ19" s="16" t="s">
        <v>227</v>
      </c>
      <c r="AK19" s="17"/>
      <c r="AL19" s="17">
        <v>0</v>
      </c>
      <c r="AM19" s="17"/>
      <c r="AN19" s="17">
        <v>2903</v>
      </c>
      <c r="AO19" s="17"/>
      <c r="AP19" s="17">
        <v>0</v>
      </c>
      <c r="AQ19" s="17"/>
      <c r="AR19" s="17">
        <v>0</v>
      </c>
      <c r="AS19" s="17"/>
      <c r="AT19" s="17">
        <v>0</v>
      </c>
      <c r="AU19" s="17"/>
      <c r="AV19" s="23">
        <f t="shared" si="0"/>
        <v>48303</v>
      </c>
      <c r="AW19" s="17"/>
      <c r="AX19" s="23">
        <f t="shared" si="1"/>
        <v>16115222</v>
      </c>
    </row>
    <row r="20" spans="1:51" s="16" customFormat="1" ht="12">
      <c r="A20" s="3" t="s">
        <v>337</v>
      </c>
      <c r="B20" s="3"/>
      <c r="C20" s="3" t="s">
        <v>155</v>
      </c>
      <c r="D20" s="3"/>
      <c r="E20" s="3">
        <v>50880</v>
      </c>
      <c r="F20" s="3"/>
      <c r="G20" s="17">
        <v>14273043</v>
      </c>
      <c r="H20" s="17"/>
      <c r="I20" s="17"/>
      <c r="J20" s="17"/>
      <c r="K20" s="17">
        <v>33067935</v>
      </c>
      <c r="L20" s="17"/>
      <c r="M20" s="17">
        <v>242060</v>
      </c>
      <c r="N20" s="17"/>
      <c r="O20" s="17">
        <v>989476</v>
      </c>
      <c r="P20" s="17"/>
      <c r="Q20" s="17">
        <v>0</v>
      </c>
      <c r="R20" s="17"/>
      <c r="S20" s="17">
        <v>0</v>
      </c>
      <c r="T20" s="17"/>
      <c r="U20" s="17">
        <v>0</v>
      </c>
      <c r="V20" s="17"/>
      <c r="W20" s="17">
        <v>328701</v>
      </c>
      <c r="X20" s="17"/>
      <c r="Y20" s="23">
        <f t="shared" si="2"/>
        <v>48901215</v>
      </c>
      <c r="Z20" s="17"/>
      <c r="AA20" s="17">
        <v>2249850</v>
      </c>
      <c r="AB20" s="17"/>
      <c r="AC20" s="17">
        <v>0</v>
      </c>
      <c r="AD20" s="17"/>
      <c r="AE20" s="17">
        <v>0</v>
      </c>
      <c r="AF20" s="17"/>
      <c r="AG20" s="17">
        <v>0</v>
      </c>
      <c r="AH20" s="3" t="s">
        <v>337</v>
      </c>
      <c r="AJ20" s="16" t="s">
        <v>155</v>
      </c>
      <c r="AK20" s="17"/>
      <c r="AL20" s="17">
        <v>0</v>
      </c>
      <c r="AM20" s="17"/>
      <c r="AN20" s="17">
        <v>0</v>
      </c>
      <c r="AO20" s="17"/>
      <c r="AP20" s="17">
        <v>0</v>
      </c>
      <c r="AQ20" s="17"/>
      <c r="AR20" s="17">
        <v>0</v>
      </c>
      <c r="AS20" s="17"/>
      <c r="AT20" s="17">
        <v>0</v>
      </c>
      <c r="AU20" s="17"/>
      <c r="AV20" s="23">
        <f t="shared" si="0"/>
        <v>2249850</v>
      </c>
      <c r="AW20" s="17"/>
      <c r="AX20" s="23">
        <f t="shared" si="1"/>
        <v>51151065</v>
      </c>
    </row>
    <row r="21" spans="1:51" s="16" customFormat="1" ht="12" hidden="1">
      <c r="A21" s="3" t="s">
        <v>340</v>
      </c>
      <c r="B21" s="3"/>
      <c r="C21" s="3" t="s">
        <v>248</v>
      </c>
      <c r="D21" s="3"/>
      <c r="E21" s="3">
        <v>63511</v>
      </c>
      <c r="F21" s="3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23">
        <f t="shared" si="2"/>
        <v>0</v>
      </c>
      <c r="Z21" s="17"/>
      <c r="AA21" s="17"/>
      <c r="AB21" s="17"/>
      <c r="AC21" s="17"/>
      <c r="AD21" s="17"/>
      <c r="AE21" s="17"/>
      <c r="AF21" s="17"/>
      <c r="AG21" s="17"/>
      <c r="AH21" s="3" t="s">
        <v>340</v>
      </c>
      <c r="AJ21" s="16" t="s">
        <v>248</v>
      </c>
      <c r="AK21" s="17"/>
      <c r="AL21" s="17"/>
      <c r="AM21" s="17"/>
      <c r="AN21" s="17"/>
      <c r="AO21" s="17"/>
      <c r="AP21" s="17"/>
      <c r="AQ21" s="17"/>
      <c r="AR21" s="17"/>
      <c r="AS21" s="17"/>
      <c r="AT21" s="3"/>
      <c r="AU21" s="17"/>
      <c r="AV21" s="23">
        <f t="shared" ref="AV21:AV63" si="3">SUM(AA21:AT21)</f>
        <v>0</v>
      </c>
      <c r="AW21" s="17"/>
      <c r="AX21" s="23">
        <f t="shared" si="1"/>
        <v>0</v>
      </c>
    </row>
    <row r="22" spans="1:51" s="16" customFormat="1" ht="12">
      <c r="A22" s="3" t="s">
        <v>338</v>
      </c>
      <c r="B22" s="3"/>
      <c r="C22" s="3" t="s">
        <v>165</v>
      </c>
      <c r="D22" s="3"/>
      <c r="E22" s="3">
        <v>50906</v>
      </c>
      <c r="F22" s="3"/>
      <c r="G22" s="17">
        <v>2005811</v>
      </c>
      <c r="H22" s="17"/>
      <c r="I22" s="17"/>
      <c r="J22" s="17"/>
      <c r="K22" s="17">
        <f>4094573+481835</f>
        <v>4576408</v>
      </c>
      <c r="L22" s="17"/>
      <c r="M22" s="17">
        <v>51815</v>
      </c>
      <c r="N22" s="17"/>
      <c r="O22" s="17">
        <v>1079477</v>
      </c>
      <c r="P22" s="17"/>
      <c r="Q22" s="17">
        <v>2270</v>
      </c>
      <c r="R22" s="17"/>
      <c r="S22" s="17">
        <v>0</v>
      </c>
      <c r="T22" s="17"/>
      <c r="U22" s="17">
        <v>0</v>
      </c>
      <c r="V22" s="17"/>
      <c r="W22" s="17">
        <f>72703+56142+860+62500+26190</f>
        <v>218395</v>
      </c>
      <c r="X22" s="17"/>
      <c r="Y22" s="23">
        <f t="shared" si="2"/>
        <v>7934176</v>
      </c>
      <c r="Z22" s="17"/>
      <c r="AA22" s="17">
        <v>545700</v>
      </c>
      <c r="AB22" s="17"/>
      <c r="AC22" s="17">
        <v>0</v>
      </c>
      <c r="AD22" s="17"/>
      <c r="AE22" s="17">
        <v>0</v>
      </c>
      <c r="AF22" s="17"/>
      <c r="AG22" s="17">
        <v>0</v>
      </c>
      <c r="AH22" s="3" t="s">
        <v>338</v>
      </c>
      <c r="AJ22" s="16" t="s">
        <v>165</v>
      </c>
      <c r="AK22" s="17"/>
      <c r="AL22" s="17">
        <v>0</v>
      </c>
      <c r="AM22" s="17"/>
      <c r="AN22" s="17">
        <v>0</v>
      </c>
      <c r="AO22" s="17"/>
      <c r="AP22" s="17">
        <v>0</v>
      </c>
      <c r="AQ22" s="17"/>
      <c r="AR22" s="17">
        <v>0</v>
      </c>
      <c r="AS22" s="17"/>
      <c r="AT22" s="17">
        <v>0</v>
      </c>
      <c r="AU22" s="17"/>
      <c r="AV22" s="23">
        <f>SUM(AA22:AT22)</f>
        <v>545700</v>
      </c>
      <c r="AW22" s="17"/>
      <c r="AX22" s="23">
        <f t="shared" si="1"/>
        <v>8479876</v>
      </c>
    </row>
    <row r="23" spans="1:51" s="16" customFormat="1" ht="12">
      <c r="A23" s="3" t="s">
        <v>291</v>
      </c>
      <c r="B23" s="3"/>
      <c r="C23" s="3" t="s">
        <v>240</v>
      </c>
      <c r="D23" s="3"/>
      <c r="E23" s="3">
        <v>65227</v>
      </c>
      <c r="F23" s="3"/>
      <c r="G23" s="17">
        <v>1259618</v>
      </c>
      <c r="H23" s="17"/>
      <c r="I23" s="17"/>
      <c r="J23" s="17"/>
      <c r="K23" s="17">
        <v>2571449</v>
      </c>
      <c r="L23" s="17"/>
      <c r="M23" s="17">
        <v>2718</v>
      </c>
      <c r="N23" s="17"/>
      <c r="O23" s="17">
        <v>12186</v>
      </c>
      <c r="P23" s="17"/>
      <c r="Q23" s="17">
        <v>0</v>
      </c>
      <c r="R23" s="17"/>
      <c r="S23" s="17">
        <v>0</v>
      </c>
      <c r="T23" s="17"/>
      <c r="U23" s="17">
        <v>1750</v>
      </c>
      <c r="V23" s="17"/>
      <c r="W23" s="17">
        <f>23901+65355+10275</f>
        <v>99531</v>
      </c>
      <c r="X23" s="17"/>
      <c r="Y23" s="23">
        <f t="shared" si="2"/>
        <v>3947252</v>
      </c>
      <c r="Z23" s="17"/>
      <c r="AA23" s="17">
        <v>1900</v>
      </c>
      <c r="AB23" s="17"/>
      <c r="AC23" s="17">
        <v>0</v>
      </c>
      <c r="AD23" s="17"/>
      <c r="AE23" s="17">
        <v>0</v>
      </c>
      <c r="AF23" s="17"/>
      <c r="AG23" s="17">
        <v>0</v>
      </c>
      <c r="AH23" s="3" t="s">
        <v>291</v>
      </c>
      <c r="AJ23" s="16" t="s">
        <v>240</v>
      </c>
      <c r="AK23" s="17"/>
      <c r="AL23" s="17">
        <v>33790</v>
      </c>
      <c r="AM23" s="17"/>
      <c r="AN23" s="17">
        <v>0</v>
      </c>
      <c r="AO23" s="17"/>
      <c r="AP23" s="17">
        <v>0</v>
      </c>
      <c r="AQ23" s="17"/>
      <c r="AR23" s="17">
        <v>0</v>
      </c>
      <c r="AS23" s="17"/>
      <c r="AT23" s="17">
        <v>0</v>
      </c>
      <c r="AU23" s="17"/>
      <c r="AV23" s="23">
        <f>SUM(AA23:AT23)</f>
        <v>35690</v>
      </c>
      <c r="AW23" s="17"/>
      <c r="AX23" s="23">
        <f t="shared" si="1"/>
        <v>3982942</v>
      </c>
    </row>
    <row r="24" spans="1:51" s="16" customFormat="1" ht="12">
      <c r="A24" s="3" t="s">
        <v>342</v>
      </c>
      <c r="B24" s="3"/>
      <c r="C24" s="3" t="s">
        <v>187</v>
      </c>
      <c r="D24" s="3"/>
      <c r="E24" s="3">
        <v>51201</v>
      </c>
      <c r="F24" s="3"/>
      <c r="G24" s="17">
        <v>8612605</v>
      </c>
      <c r="H24" s="17"/>
      <c r="I24" s="17"/>
      <c r="J24" s="17"/>
      <c r="K24" s="17">
        <v>7255152</v>
      </c>
      <c r="L24" s="17"/>
      <c r="M24" s="17">
        <v>63565</v>
      </c>
      <c r="N24" s="17"/>
      <c r="O24" s="17">
        <v>2090264</v>
      </c>
      <c r="P24" s="17"/>
      <c r="Q24" s="17">
        <v>21264</v>
      </c>
      <c r="R24" s="17"/>
      <c r="S24" s="17">
        <v>0</v>
      </c>
      <c r="T24" s="17"/>
      <c r="U24" s="17">
        <v>20022</v>
      </c>
      <c r="V24" s="17"/>
      <c r="W24" s="17">
        <f>141695+236703+7079</f>
        <v>385477</v>
      </c>
      <c r="X24" s="17"/>
      <c r="Y24" s="23">
        <f t="shared" si="2"/>
        <v>18448349</v>
      </c>
      <c r="Z24" s="17"/>
      <c r="AA24" s="17">
        <v>6980</v>
      </c>
      <c r="AB24" s="17"/>
      <c r="AC24" s="17">
        <v>0</v>
      </c>
      <c r="AD24" s="17"/>
      <c r="AE24" s="17">
        <f>4345000+17954991+49271+2381955+3400000</f>
        <v>28131217</v>
      </c>
      <c r="AF24" s="17"/>
      <c r="AG24" s="17">
        <v>0</v>
      </c>
      <c r="AH24" s="3" t="s">
        <v>342</v>
      </c>
      <c r="AJ24" s="16" t="s">
        <v>187</v>
      </c>
      <c r="AK24" s="17"/>
      <c r="AL24" s="17">
        <v>11396</v>
      </c>
      <c r="AM24" s="17"/>
      <c r="AN24" s="17">
        <v>0</v>
      </c>
      <c r="AO24" s="17"/>
      <c r="AP24" s="17">
        <v>0</v>
      </c>
      <c r="AQ24" s="17"/>
      <c r="AR24" s="17">
        <v>0</v>
      </c>
      <c r="AS24" s="17"/>
      <c r="AT24" s="17">
        <v>0</v>
      </c>
      <c r="AU24" s="17"/>
      <c r="AV24" s="23">
        <f>SUM(AA24:AT24)</f>
        <v>28149593</v>
      </c>
      <c r="AW24" s="17"/>
      <c r="AX24" s="23">
        <f t="shared" si="1"/>
        <v>46597942</v>
      </c>
    </row>
    <row r="25" spans="1:51" s="16" customFormat="1" ht="12">
      <c r="A25" s="3" t="s">
        <v>288</v>
      </c>
      <c r="B25" s="3"/>
      <c r="C25" s="3" t="s">
        <v>167</v>
      </c>
      <c r="D25" s="3"/>
      <c r="E25" s="3">
        <v>50922</v>
      </c>
      <c r="F25" s="3"/>
      <c r="G25" s="17">
        <v>11006366</v>
      </c>
      <c r="H25" s="17"/>
      <c r="I25" s="17"/>
      <c r="J25" s="17"/>
      <c r="K25" s="17">
        <f>4456230+401170</f>
        <v>4857400</v>
      </c>
      <c r="L25" s="17"/>
      <c r="M25" s="17">
        <v>62082</v>
      </c>
      <c r="N25" s="17"/>
      <c r="O25" s="17">
        <v>1384956</v>
      </c>
      <c r="P25" s="17"/>
      <c r="Q25" s="17">
        <v>0</v>
      </c>
      <c r="R25" s="17"/>
      <c r="S25" s="17">
        <v>387</v>
      </c>
      <c r="T25" s="17"/>
      <c r="U25" s="17">
        <v>4275</v>
      </c>
      <c r="V25" s="17"/>
      <c r="W25" s="17">
        <f>94834+45765+26896+237782+117480</f>
        <v>522757</v>
      </c>
      <c r="X25" s="17"/>
      <c r="Y25" s="23">
        <f t="shared" si="2"/>
        <v>17838223</v>
      </c>
      <c r="Z25" s="17"/>
      <c r="AA25" s="17">
        <v>300000</v>
      </c>
      <c r="AB25" s="17"/>
      <c r="AC25" s="17">
        <v>0</v>
      </c>
      <c r="AD25" s="17"/>
      <c r="AE25" s="17">
        <v>0</v>
      </c>
      <c r="AF25" s="17"/>
      <c r="AG25" s="17">
        <v>0</v>
      </c>
      <c r="AH25" s="3" t="s">
        <v>288</v>
      </c>
      <c r="AJ25" s="16" t="s">
        <v>167</v>
      </c>
      <c r="AK25" s="17"/>
      <c r="AL25" s="17">
        <v>0</v>
      </c>
      <c r="AM25" s="17"/>
      <c r="AN25" s="17">
        <v>0</v>
      </c>
      <c r="AO25" s="17"/>
      <c r="AP25" s="17">
        <v>0</v>
      </c>
      <c r="AQ25" s="17"/>
      <c r="AR25" s="17">
        <v>0</v>
      </c>
      <c r="AS25" s="17"/>
      <c r="AT25" s="3">
        <v>0</v>
      </c>
      <c r="AU25" s="17"/>
      <c r="AV25" s="23">
        <f>SUM(AA25:AT25)</f>
        <v>300000</v>
      </c>
      <c r="AW25" s="17"/>
      <c r="AX25" s="23">
        <f t="shared" si="1"/>
        <v>18138223</v>
      </c>
    </row>
    <row r="26" spans="1:51" s="16" customFormat="1" ht="12">
      <c r="A26" s="3" t="s">
        <v>287</v>
      </c>
      <c r="B26" s="3"/>
      <c r="C26" s="3" t="s">
        <v>171</v>
      </c>
      <c r="D26" s="3"/>
      <c r="E26" s="3">
        <v>50989</v>
      </c>
      <c r="F26" s="3"/>
      <c r="G26" s="17">
        <v>10134995</v>
      </c>
      <c r="H26" s="17"/>
      <c r="I26" s="17"/>
      <c r="J26" s="17"/>
      <c r="K26" s="17">
        <f>5017668+554497</f>
        <v>5572165</v>
      </c>
      <c r="L26" s="17"/>
      <c r="M26" s="17">
        <v>372360</v>
      </c>
      <c r="N26" s="17"/>
      <c r="O26" s="17">
        <v>1831514</v>
      </c>
      <c r="P26" s="17"/>
      <c r="Q26" s="17">
        <v>8149</v>
      </c>
      <c r="R26" s="17"/>
      <c r="S26" s="17">
        <v>6020</v>
      </c>
      <c r="T26" s="17"/>
      <c r="U26" s="17">
        <v>200361</v>
      </c>
      <c r="V26" s="17"/>
      <c r="W26" s="17">
        <f>131896+280864+23611+123704+75273</f>
        <v>635348</v>
      </c>
      <c r="X26" s="17"/>
      <c r="Y26" s="23">
        <f t="shared" si="2"/>
        <v>18760912</v>
      </c>
      <c r="Z26" s="17"/>
      <c r="AA26" s="17">
        <v>756119</v>
      </c>
      <c r="AB26" s="17"/>
      <c r="AC26" s="17">
        <v>0</v>
      </c>
      <c r="AD26" s="17"/>
      <c r="AE26" s="17">
        <v>0</v>
      </c>
      <c r="AF26" s="17"/>
      <c r="AG26" s="17">
        <v>0</v>
      </c>
      <c r="AH26" s="3" t="s">
        <v>287</v>
      </c>
      <c r="AJ26" s="16" t="s">
        <v>171</v>
      </c>
      <c r="AK26" s="17"/>
      <c r="AL26" s="17">
        <v>0</v>
      </c>
      <c r="AM26" s="17"/>
      <c r="AN26" s="17">
        <v>1073</v>
      </c>
      <c r="AO26" s="17"/>
      <c r="AP26" s="17">
        <v>0</v>
      </c>
      <c r="AQ26" s="17"/>
      <c r="AR26" s="17">
        <v>0</v>
      </c>
      <c r="AS26" s="17"/>
      <c r="AT26" s="17">
        <v>588689</v>
      </c>
      <c r="AU26" s="17"/>
      <c r="AV26" s="23">
        <f t="shared" si="3"/>
        <v>1345881</v>
      </c>
      <c r="AW26" s="17"/>
      <c r="AX26" s="23">
        <f t="shared" si="1"/>
        <v>20106793</v>
      </c>
    </row>
    <row r="27" spans="1:51" s="16" customFormat="1" ht="12">
      <c r="A27" s="3" t="s">
        <v>289</v>
      </c>
      <c r="B27" s="3"/>
      <c r="C27" s="3" t="s">
        <v>175</v>
      </c>
      <c r="D27" s="3"/>
      <c r="E27" s="3">
        <v>51003</v>
      </c>
      <c r="F27" s="3"/>
      <c r="G27" s="17">
        <v>13248713</v>
      </c>
      <c r="H27" s="17"/>
      <c r="I27" s="17">
        <v>0</v>
      </c>
      <c r="J27" s="17"/>
      <c r="K27" s="17">
        <v>7919071</v>
      </c>
      <c r="L27" s="17"/>
      <c r="M27" s="17">
        <v>180634</v>
      </c>
      <c r="N27" s="17"/>
      <c r="O27" s="17">
        <v>676917</v>
      </c>
      <c r="P27" s="17"/>
      <c r="Q27" s="17">
        <v>0</v>
      </c>
      <c r="R27" s="17"/>
      <c r="S27" s="17">
        <v>0</v>
      </c>
      <c r="T27" s="17"/>
      <c r="U27" s="17">
        <v>17173</v>
      </c>
      <c r="V27" s="17"/>
      <c r="W27" s="17">
        <f>113097+14550+329430</f>
        <v>457077</v>
      </c>
      <c r="X27" s="17"/>
      <c r="Y27" s="23">
        <f t="shared" si="2"/>
        <v>22499585</v>
      </c>
      <c r="Z27" s="17"/>
      <c r="AA27" s="17">
        <v>243235</v>
      </c>
      <c r="AB27" s="17"/>
      <c r="AC27" s="17">
        <v>0</v>
      </c>
      <c r="AD27" s="17"/>
      <c r="AE27" s="17">
        <v>0</v>
      </c>
      <c r="AF27" s="17"/>
      <c r="AG27" s="17">
        <v>0</v>
      </c>
      <c r="AH27" s="3" t="s">
        <v>289</v>
      </c>
      <c r="AJ27" s="16" t="s">
        <v>175</v>
      </c>
      <c r="AK27" s="17"/>
      <c r="AL27" s="17">
        <v>0</v>
      </c>
      <c r="AM27" s="17"/>
      <c r="AN27" s="17">
        <v>18436</v>
      </c>
      <c r="AO27" s="17"/>
      <c r="AP27" s="17">
        <v>0</v>
      </c>
      <c r="AQ27" s="17"/>
      <c r="AR27" s="17">
        <v>0</v>
      </c>
      <c r="AS27" s="17"/>
      <c r="AT27" s="17">
        <v>0</v>
      </c>
      <c r="AU27" s="17"/>
      <c r="AV27" s="23">
        <f t="shared" si="3"/>
        <v>261671</v>
      </c>
      <c r="AW27" s="17"/>
      <c r="AX27" s="23">
        <f t="shared" si="1"/>
        <v>22761256</v>
      </c>
    </row>
    <row r="28" spans="1:51" s="16" customFormat="1" ht="12">
      <c r="A28" s="3" t="s">
        <v>290</v>
      </c>
      <c r="B28" s="3"/>
      <c r="C28" s="3" t="s">
        <v>172</v>
      </c>
      <c r="D28" s="3"/>
      <c r="E28" s="3">
        <v>51029</v>
      </c>
      <c r="F28" s="3"/>
      <c r="G28" s="17">
        <v>5681530</v>
      </c>
      <c r="H28" s="17"/>
      <c r="I28" s="17">
        <v>0</v>
      </c>
      <c r="J28" s="17"/>
      <c r="K28" s="17">
        <v>9737927</v>
      </c>
      <c r="L28" s="17"/>
      <c r="M28" s="17">
        <v>35862</v>
      </c>
      <c r="N28" s="17"/>
      <c r="O28" s="17">
        <f>2522616+105521</f>
        <v>2628137</v>
      </c>
      <c r="P28" s="17"/>
      <c r="Q28" s="17">
        <v>8303</v>
      </c>
      <c r="R28" s="17"/>
      <c r="S28" s="17">
        <v>0</v>
      </c>
      <c r="T28" s="17"/>
      <c r="U28" s="17">
        <v>0</v>
      </c>
      <c r="V28" s="17"/>
      <c r="W28" s="17">
        <f>198716+362122</f>
        <v>560838</v>
      </c>
      <c r="X28" s="17"/>
      <c r="Y28" s="23">
        <f t="shared" si="2"/>
        <v>18652597</v>
      </c>
      <c r="Z28" s="17"/>
      <c r="AA28" s="17">
        <v>161000</v>
      </c>
      <c r="AB28" s="17"/>
      <c r="AC28" s="17">
        <v>1800000</v>
      </c>
      <c r="AD28" s="17"/>
      <c r="AE28" s="17">
        <v>0</v>
      </c>
      <c r="AF28" s="17"/>
      <c r="AG28" s="17">
        <v>0</v>
      </c>
      <c r="AH28" s="3" t="s">
        <v>290</v>
      </c>
      <c r="AJ28" s="16" t="s">
        <v>172</v>
      </c>
      <c r="AK28" s="17"/>
      <c r="AL28" s="17">
        <v>0</v>
      </c>
      <c r="AM28" s="17"/>
      <c r="AN28" s="17">
        <v>0</v>
      </c>
      <c r="AO28" s="17"/>
      <c r="AP28" s="17">
        <v>0</v>
      </c>
      <c r="AQ28" s="17"/>
      <c r="AR28" s="17">
        <v>0</v>
      </c>
      <c r="AS28" s="17"/>
      <c r="AT28" s="17">
        <v>0</v>
      </c>
      <c r="AU28" s="17"/>
      <c r="AV28" s="23">
        <f>SUM(AA28:AT28)</f>
        <v>1961000</v>
      </c>
      <c r="AW28" s="17"/>
      <c r="AX28" s="23">
        <f t="shared" si="1"/>
        <v>20613597</v>
      </c>
    </row>
    <row r="29" spans="1:51" s="16" customFormat="1" ht="12">
      <c r="A29" s="3" t="s">
        <v>292</v>
      </c>
      <c r="B29" s="3"/>
      <c r="C29" s="3" t="s">
        <v>242</v>
      </c>
      <c r="D29" s="3"/>
      <c r="E29" s="3">
        <v>50963</v>
      </c>
      <c r="F29" s="3"/>
      <c r="G29" s="17">
        <v>5387942</v>
      </c>
      <c r="H29" s="17"/>
      <c r="I29" s="17">
        <v>0</v>
      </c>
      <c r="J29" s="17"/>
      <c r="K29" s="17">
        <v>10263237</v>
      </c>
      <c r="L29" s="17"/>
      <c r="M29" s="17">
        <f>170300-17688</f>
        <v>152612</v>
      </c>
      <c r="N29" s="17"/>
      <c r="O29" s="17">
        <v>903683</v>
      </c>
      <c r="P29" s="17"/>
      <c r="Q29" s="17">
        <v>0</v>
      </c>
      <c r="R29" s="17"/>
      <c r="S29" s="17">
        <v>0</v>
      </c>
      <c r="T29" s="17"/>
      <c r="U29" s="17">
        <v>138771</v>
      </c>
      <c r="V29" s="17"/>
      <c r="W29" s="17">
        <f>10302+420783+16593</f>
        <v>447678</v>
      </c>
      <c r="X29" s="17"/>
      <c r="Y29" s="23">
        <f t="shared" si="2"/>
        <v>17293923</v>
      </c>
      <c r="Z29" s="17"/>
      <c r="AA29" s="17">
        <v>2925000</v>
      </c>
      <c r="AB29" s="17"/>
      <c r="AC29" s="17">
        <v>0</v>
      </c>
      <c r="AD29" s="17"/>
      <c r="AE29" s="17">
        <v>0</v>
      </c>
      <c r="AF29" s="17"/>
      <c r="AG29" s="17">
        <v>0</v>
      </c>
      <c r="AH29" s="3" t="s">
        <v>292</v>
      </c>
      <c r="AJ29" s="16" t="s">
        <v>242</v>
      </c>
      <c r="AK29" s="17"/>
      <c r="AL29" s="17">
        <v>0</v>
      </c>
      <c r="AM29" s="17"/>
      <c r="AN29" s="17">
        <v>4595</v>
      </c>
      <c r="AO29" s="17"/>
      <c r="AP29" s="17">
        <v>0</v>
      </c>
      <c r="AQ29" s="17"/>
      <c r="AR29" s="17">
        <v>0</v>
      </c>
      <c r="AS29" s="17"/>
      <c r="AT29" s="3">
        <v>0</v>
      </c>
      <c r="AU29" s="17"/>
      <c r="AV29" s="23">
        <f t="shared" si="3"/>
        <v>2929595</v>
      </c>
      <c r="AW29" s="17"/>
      <c r="AX29" s="23">
        <f t="shared" si="1"/>
        <v>20223518</v>
      </c>
    </row>
    <row r="30" spans="1:51" s="16" customFormat="1" ht="12">
      <c r="A30" s="3" t="s">
        <v>241</v>
      </c>
      <c r="B30" s="3"/>
      <c r="C30" s="3" t="s">
        <v>178</v>
      </c>
      <c r="D30" s="3"/>
      <c r="E30" s="3">
        <v>62067</v>
      </c>
      <c r="F30" s="3"/>
      <c r="G30" s="17">
        <v>2431865</v>
      </c>
      <c r="H30" s="17"/>
      <c r="I30" s="17"/>
      <c r="J30" s="17"/>
      <c r="K30" s="17">
        <v>7308929</v>
      </c>
      <c r="L30" s="17"/>
      <c r="M30" s="17">
        <v>266022</v>
      </c>
      <c r="N30" s="17"/>
      <c r="O30" s="17">
        <v>62119</v>
      </c>
      <c r="P30" s="17"/>
      <c r="Q30" s="17">
        <v>840</v>
      </c>
      <c r="R30" s="17"/>
      <c r="S30" s="17">
        <v>0</v>
      </c>
      <c r="T30" s="17"/>
      <c r="U30" s="17">
        <v>56500</v>
      </c>
      <c r="V30" s="17"/>
      <c r="W30" s="17">
        <f>69267+501+203279</f>
        <v>273047</v>
      </c>
      <c r="X30" s="17"/>
      <c r="Y30" s="23">
        <f t="shared" si="2"/>
        <v>10399322</v>
      </c>
      <c r="Z30" s="17"/>
      <c r="AA30" s="17">
        <v>2400743</v>
      </c>
      <c r="AB30" s="17"/>
      <c r="AC30" s="17">
        <v>0</v>
      </c>
      <c r="AD30" s="17"/>
      <c r="AE30" s="17">
        <v>0</v>
      </c>
      <c r="AF30" s="17"/>
      <c r="AG30" s="17">
        <v>0</v>
      </c>
      <c r="AH30" s="3" t="s">
        <v>241</v>
      </c>
      <c r="AJ30" s="16" t="s">
        <v>178</v>
      </c>
      <c r="AK30" s="17"/>
      <c r="AL30" s="17">
        <v>0</v>
      </c>
      <c r="AM30" s="17"/>
      <c r="AN30" s="17">
        <v>2546</v>
      </c>
      <c r="AO30" s="17"/>
      <c r="AP30" s="17">
        <v>0</v>
      </c>
      <c r="AQ30" s="17"/>
      <c r="AR30" s="17">
        <v>0</v>
      </c>
      <c r="AS30" s="17"/>
      <c r="AT30" s="17">
        <v>0</v>
      </c>
      <c r="AU30" s="17"/>
      <c r="AV30" s="23">
        <f t="shared" si="3"/>
        <v>2403289</v>
      </c>
      <c r="AW30" s="17"/>
      <c r="AX30" s="23">
        <f t="shared" si="1"/>
        <v>12802611</v>
      </c>
    </row>
    <row r="31" spans="1:51" s="16" customFormat="1" ht="12">
      <c r="A31" s="3" t="s">
        <v>374</v>
      </c>
      <c r="B31" s="3"/>
      <c r="C31" s="3" t="s">
        <v>181</v>
      </c>
      <c r="D31" s="3"/>
      <c r="E31" s="3">
        <v>51060</v>
      </c>
      <c r="F31" s="3"/>
      <c r="G31" s="17">
        <v>36641771</v>
      </c>
      <c r="H31" s="17"/>
      <c r="I31" s="17"/>
      <c r="J31" s="17"/>
      <c r="K31" s="17">
        <v>28054101</v>
      </c>
      <c r="L31" s="17"/>
      <c r="M31" s="17">
        <v>1207420</v>
      </c>
      <c r="N31" s="17"/>
      <c r="O31" s="17">
        <v>5026914</v>
      </c>
      <c r="P31" s="17"/>
      <c r="Q31" s="17">
        <v>121918</v>
      </c>
      <c r="R31" s="17"/>
      <c r="S31" s="17">
        <v>791963</v>
      </c>
      <c r="T31" s="17"/>
      <c r="U31" s="17">
        <v>0</v>
      </c>
      <c r="V31" s="17"/>
      <c r="W31" s="17">
        <f>816087+1420280</f>
        <v>2236367</v>
      </c>
      <c r="X31" s="17"/>
      <c r="Y31" s="23">
        <f t="shared" si="2"/>
        <v>74080454</v>
      </c>
      <c r="Z31" s="17"/>
      <c r="AA31" s="17">
        <v>26576668</v>
      </c>
      <c r="AB31" s="17"/>
      <c r="AC31" s="17">
        <v>0</v>
      </c>
      <c r="AD31" s="17"/>
      <c r="AE31" s="17">
        <f>9200000+143796</f>
        <v>9343796</v>
      </c>
      <c r="AF31" s="17"/>
      <c r="AG31" s="17">
        <v>0</v>
      </c>
      <c r="AH31" s="3" t="s">
        <v>374</v>
      </c>
      <c r="AJ31" s="16" t="s">
        <v>181</v>
      </c>
      <c r="AK31" s="17"/>
      <c r="AL31" s="17">
        <v>0</v>
      </c>
      <c r="AM31" s="17"/>
      <c r="AN31" s="17">
        <v>0</v>
      </c>
      <c r="AO31" s="17"/>
      <c r="AP31" s="17">
        <v>0</v>
      </c>
      <c r="AQ31" s="17"/>
      <c r="AR31" s="17">
        <v>0</v>
      </c>
      <c r="AS31" s="17"/>
      <c r="AT31" s="17">
        <v>0</v>
      </c>
      <c r="AU31" s="17"/>
      <c r="AV31" s="23">
        <f t="shared" si="3"/>
        <v>35920464</v>
      </c>
      <c r="AW31" s="17"/>
      <c r="AX31" s="23">
        <f t="shared" si="1"/>
        <v>110000918</v>
      </c>
    </row>
    <row r="32" spans="1:51" s="16" customFormat="1" ht="12">
      <c r="A32" s="3" t="s">
        <v>375</v>
      </c>
      <c r="B32" s="3"/>
      <c r="C32" s="3" t="s">
        <v>180</v>
      </c>
      <c r="D32" s="3"/>
      <c r="E32" s="3">
        <v>51045</v>
      </c>
      <c r="F32" s="3"/>
      <c r="G32" s="17">
        <v>9027503</v>
      </c>
      <c r="H32" s="17"/>
      <c r="I32" s="17"/>
      <c r="J32" s="17"/>
      <c r="K32" s="17">
        <v>6716531</v>
      </c>
      <c r="L32" s="17"/>
      <c r="M32" s="17">
        <v>43619</v>
      </c>
      <c r="N32" s="17"/>
      <c r="O32" s="17">
        <v>1252898</v>
      </c>
      <c r="P32" s="17"/>
      <c r="Q32" s="17">
        <v>20923</v>
      </c>
      <c r="R32" s="17"/>
      <c r="S32" s="17">
        <v>0</v>
      </c>
      <c r="T32" s="17"/>
      <c r="U32" s="17">
        <v>0</v>
      </c>
      <c r="V32" s="17"/>
      <c r="W32" s="17">
        <f>196417+118058</f>
        <v>314475</v>
      </c>
      <c r="X32" s="17"/>
      <c r="Y32" s="23">
        <f t="shared" si="2"/>
        <v>17375949</v>
      </c>
      <c r="Z32" s="17"/>
      <c r="AA32" s="17">
        <v>164523</v>
      </c>
      <c r="AB32" s="17"/>
      <c r="AC32" s="17">
        <v>0</v>
      </c>
      <c r="AD32" s="17"/>
      <c r="AE32" s="17">
        <v>0</v>
      </c>
      <c r="AF32" s="17"/>
      <c r="AG32" s="17">
        <v>0</v>
      </c>
      <c r="AH32" s="3" t="s">
        <v>375</v>
      </c>
      <c r="AJ32" s="16" t="s">
        <v>180</v>
      </c>
      <c r="AK32" s="17"/>
      <c r="AL32" s="17">
        <v>0</v>
      </c>
      <c r="AM32" s="17"/>
      <c r="AN32" s="17">
        <v>0</v>
      </c>
      <c r="AO32" s="17"/>
      <c r="AP32" s="17">
        <v>0</v>
      </c>
      <c r="AQ32" s="17"/>
      <c r="AR32" s="17">
        <v>0</v>
      </c>
      <c r="AS32" s="17"/>
      <c r="AT32" s="17">
        <v>0</v>
      </c>
      <c r="AU32" s="17"/>
      <c r="AV32" s="23">
        <f t="shared" si="3"/>
        <v>164523</v>
      </c>
      <c r="AW32" s="17"/>
      <c r="AX32" s="23">
        <f t="shared" si="1"/>
        <v>17540472</v>
      </c>
    </row>
    <row r="33" spans="1:50" s="16" customFormat="1" ht="12">
      <c r="A33" s="3" t="s">
        <v>243</v>
      </c>
      <c r="B33" s="3"/>
      <c r="C33" s="3" t="s">
        <v>183</v>
      </c>
      <c r="D33" s="3"/>
      <c r="E33" s="3">
        <v>51128</v>
      </c>
      <c r="F33" s="3"/>
      <c r="G33" s="17">
        <v>1623636</v>
      </c>
      <c r="H33" s="17"/>
      <c r="I33" s="17"/>
      <c r="J33" s="17"/>
      <c r="K33" s="17">
        <v>3490636</v>
      </c>
      <c r="L33" s="17"/>
      <c r="M33" s="17">
        <v>318</v>
      </c>
      <c r="N33" s="17"/>
      <c r="O33" s="17">
        <v>233010</v>
      </c>
      <c r="P33" s="17"/>
      <c r="Q33" s="17">
        <v>13794</v>
      </c>
      <c r="R33" s="17"/>
      <c r="S33" s="17">
        <v>0</v>
      </c>
      <c r="T33" s="17"/>
      <c r="U33" s="17">
        <v>4050</v>
      </c>
      <c r="V33" s="17"/>
      <c r="W33" s="17">
        <f>85964+47378</f>
        <v>133342</v>
      </c>
      <c r="X33" s="17"/>
      <c r="Y33" s="23">
        <f t="shared" si="2"/>
        <v>5498786</v>
      </c>
      <c r="Z33" s="17"/>
      <c r="AA33" s="17">
        <v>19869</v>
      </c>
      <c r="AB33" s="17"/>
      <c r="AC33" s="17">
        <v>0</v>
      </c>
      <c r="AD33" s="17"/>
      <c r="AE33" s="17">
        <v>1078690</v>
      </c>
      <c r="AF33" s="17"/>
      <c r="AG33" s="17">
        <v>0</v>
      </c>
      <c r="AH33" s="3" t="s">
        <v>243</v>
      </c>
      <c r="AJ33" s="16" t="s">
        <v>183</v>
      </c>
      <c r="AK33" s="17"/>
      <c r="AL33" s="17">
        <v>0</v>
      </c>
      <c r="AM33" s="17"/>
      <c r="AN33" s="17">
        <v>0</v>
      </c>
      <c r="AO33" s="17"/>
      <c r="AP33" s="17">
        <v>0</v>
      </c>
      <c r="AQ33" s="17"/>
      <c r="AR33" s="17">
        <v>0</v>
      </c>
      <c r="AS33" s="17"/>
      <c r="AT33" s="3">
        <v>0</v>
      </c>
      <c r="AU33" s="17"/>
      <c r="AV33" s="23">
        <f t="shared" si="3"/>
        <v>1098559</v>
      </c>
      <c r="AW33" s="17"/>
      <c r="AX33" s="23">
        <f t="shared" si="1"/>
        <v>6597345</v>
      </c>
    </row>
    <row r="34" spans="1:50" s="16" customFormat="1" ht="12">
      <c r="A34" s="3" t="s">
        <v>293</v>
      </c>
      <c r="B34" s="3"/>
      <c r="C34" s="3" t="s">
        <v>184</v>
      </c>
      <c r="D34" s="3"/>
      <c r="E34" s="3">
        <v>51144</v>
      </c>
      <c r="F34" s="3"/>
      <c r="G34" s="17">
        <v>3109039</v>
      </c>
      <c r="H34" s="17"/>
      <c r="I34" s="17"/>
      <c r="J34" s="17"/>
      <c r="K34" s="17">
        <v>6512332</v>
      </c>
      <c r="L34" s="17"/>
      <c r="M34" s="17">
        <v>191349</v>
      </c>
      <c r="N34" s="17"/>
      <c r="O34" s="17">
        <v>1633016</v>
      </c>
      <c r="P34" s="17"/>
      <c r="Q34" s="17">
        <v>0</v>
      </c>
      <c r="R34" s="17"/>
      <c r="S34" s="17">
        <v>77469</v>
      </c>
      <c r="T34" s="17"/>
      <c r="U34" s="17">
        <v>22996</v>
      </c>
      <c r="V34" s="17"/>
      <c r="W34" s="17">
        <f>20761+221643+74767</f>
        <v>317171</v>
      </c>
      <c r="X34" s="17"/>
      <c r="Y34" s="23">
        <f t="shared" si="2"/>
        <v>11863372</v>
      </c>
      <c r="Z34" s="17"/>
      <c r="AA34" s="17">
        <v>759591</v>
      </c>
      <c r="AB34" s="17"/>
      <c r="AC34" s="17">
        <v>0</v>
      </c>
      <c r="AD34" s="17"/>
      <c r="AE34" s="17">
        <v>0</v>
      </c>
      <c r="AF34" s="17"/>
      <c r="AG34" s="17">
        <v>0</v>
      </c>
      <c r="AH34" s="3" t="s">
        <v>293</v>
      </c>
      <c r="AJ34" s="16" t="s">
        <v>184</v>
      </c>
      <c r="AK34" s="17"/>
      <c r="AL34" s="17">
        <v>6425</v>
      </c>
      <c r="AM34" s="17"/>
      <c r="AN34" s="17">
        <v>0</v>
      </c>
      <c r="AO34" s="17"/>
      <c r="AP34" s="17">
        <v>0</v>
      </c>
      <c r="AQ34" s="17"/>
      <c r="AR34" s="17">
        <v>0</v>
      </c>
      <c r="AS34" s="17"/>
      <c r="AT34" s="17">
        <v>0</v>
      </c>
      <c r="AU34" s="17"/>
      <c r="AV34" s="23">
        <f t="shared" si="3"/>
        <v>766016</v>
      </c>
      <c r="AW34" s="17"/>
      <c r="AX34" s="23">
        <f t="shared" si="1"/>
        <v>12629388</v>
      </c>
    </row>
    <row r="35" spans="1:50" s="16" customFormat="1" ht="12">
      <c r="A35" s="3" t="s">
        <v>244</v>
      </c>
      <c r="B35" s="3"/>
      <c r="C35" s="3" t="s">
        <v>185</v>
      </c>
      <c r="D35" s="3"/>
      <c r="E35" s="3">
        <v>51185</v>
      </c>
      <c r="F35" s="3"/>
      <c r="G35" s="17">
        <v>1552830</v>
      </c>
      <c r="H35" s="17"/>
      <c r="I35" s="17"/>
      <c r="J35" s="17"/>
      <c r="K35" s="17">
        <v>8040351</v>
      </c>
      <c r="L35" s="17"/>
      <c r="M35" s="17">
        <v>339711</v>
      </c>
      <c r="N35" s="17"/>
      <c r="O35" s="17">
        <v>2047429</v>
      </c>
      <c r="P35" s="17"/>
      <c r="Q35" s="17">
        <v>0</v>
      </c>
      <c r="R35" s="17"/>
      <c r="S35" s="17">
        <v>0</v>
      </c>
      <c r="T35" s="17"/>
      <c r="U35" s="17">
        <v>0</v>
      </c>
      <c r="V35" s="17"/>
      <c r="W35" s="17">
        <f>173410+196748</f>
        <v>370158</v>
      </c>
      <c r="X35" s="17"/>
      <c r="Y35" s="23">
        <f t="shared" si="2"/>
        <v>12350479</v>
      </c>
      <c r="Z35" s="17"/>
      <c r="AA35" s="17">
        <v>367216</v>
      </c>
      <c r="AB35" s="17"/>
      <c r="AC35" s="17">
        <v>0</v>
      </c>
      <c r="AD35" s="17"/>
      <c r="AE35" s="17">
        <v>7312770</v>
      </c>
      <c r="AF35" s="17"/>
      <c r="AG35" s="17">
        <v>0</v>
      </c>
      <c r="AH35" s="3" t="s">
        <v>244</v>
      </c>
      <c r="AJ35" s="16" t="s">
        <v>185</v>
      </c>
      <c r="AK35" s="17"/>
      <c r="AL35" s="17">
        <v>0</v>
      </c>
      <c r="AM35" s="17"/>
      <c r="AN35" s="17">
        <v>0</v>
      </c>
      <c r="AO35" s="17"/>
      <c r="AP35" s="17">
        <v>0</v>
      </c>
      <c r="AQ35" s="17"/>
      <c r="AR35" s="17">
        <v>0</v>
      </c>
      <c r="AS35" s="17"/>
      <c r="AT35" s="17">
        <v>0</v>
      </c>
      <c r="AU35" s="17"/>
      <c r="AV35" s="23">
        <f t="shared" si="3"/>
        <v>7679986</v>
      </c>
      <c r="AW35" s="17"/>
      <c r="AX35" s="23">
        <f t="shared" si="1"/>
        <v>20030465</v>
      </c>
    </row>
    <row r="36" spans="1:50" s="16" customFormat="1" ht="12" hidden="1">
      <c r="A36" s="3" t="s">
        <v>319</v>
      </c>
      <c r="B36" s="3"/>
      <c r="C36" s="3" t="s">
        <v>187</v>
      </c>
      <c r="D36" s="3"/>
      <c r="E36" s="3">
        <v>47977</v>
      </c>
      <c r="F36" s="3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23">
        <f t="shared" si="2"/>
        <v>0</v>
      </c>
      <c r="Z36" s="17"/>
      <c r="AA36" s="17"/>
      <c r="AB36" s="17"/>
      <c r="AC36" s="17"/>
      <c r="AD36" s="17"/>
      <c r="AE36" s="17"/>
      <c r="AF36" s="17"/>
      <c r="AG36" s="17"/>
      <c r="AH36" s="3" t="s">
        <v>319</v>
      </c>
      <c r="AJ36" s="16" t="s">
        <v>187</v>
      </c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23">
        <f t="shared" si="3"/>
        <v>0</v>
      </c>
      <c r="AW36" s="17"/>
      <c r="AX36" s="23">
        <f t="shared" si="1"/>
        <v>0</v>
      </c>
    </row>
    <row r="37" spans="1:50" s="16" customFormat="1" ht="12">
      <c r="A37" s="3" t="s">
        <v>246</v>
      </c>
      <c r="B37" s="3"/>
      <c r="C37" s="3" t="s">
        <v>150</v>
      </c>
      <c r="D37" s="3"/>
      <c r="E37" s="3">
        <v>51227</v>
      </c>
      <c r="F37" s="3"/>
      <c r="G37" s="17">
        <v>10521294</v>
      </c>
      <c r="H37" s="17"/>
      <c r="I37" s="17"/>
      <c r="J37" s="17"/>
      <c r="K37" s="17">
        <v>11136375</v>
      </c>
      <c r="L37" s="17"/>
      <c r="M37" s="17">
        <v>26179</v>
      </c>
      <c r="N37" s="17"/>
      <c r="O37" s="17">
        <v>1683204</v>
      </c>
      <c r="P37" s="17"/>
      <c r="Q37" s="17">
        <v>0</v>
      </c>
      <c r="R37" s="17"/>
      <c r="S37" s="17">
        <v>0</v>
      </c>
      <c r="T37" s="17"/>
      <c r="U37" s="17">
        <v>0</v>
      </c>
      <c r="V37" s="17"/>
      <c r="W37" s="17">
        <v>807445</v>
      </c>
      <c r="X37" s="17"/>
      <c r="Y37" s="23">
        <f t="shared" si="2"/>
        <v>24174497</v>
      </c>
      <c r="Z37" s="17"/>
      <c r="AA37" s="17">
        <v>800000</v>
      </c>
      <c r="AB37" s="17"/>
      <c r="AC37" s="17">
        <v>0</v>
      </c>
      <c r="AD37" s="17"/>
      <c r="AE37" s="17">
        <v>0</v>
      </c>
      <c r="AF37" s="17"/>
      <c r="AG37" s="17">
        <v>0</v>
      </c>
      <c r="AH37" s="3" t="s">
        <v>246</v>
      </c>
      <c r="AJ37" s="16" t="s">
        <v>150</v>
      </c>
      <c r="AK37" s="17"/>
      <c r="AL37" s="17">
        <v>0</v>
      </c>
      <c r="AM37" s="17"/>
      <c r="AN37" s="17">
        <v>0</v>
      </c>
      <c r="AO37" s="17"/>
      <c r="AP37" s="17">
        <v>0</v>
      </c>
      <c r="AQ37" s="17"/>
      <c r="AR37" s="17">
        <v>0</v>
      </c>
      <c r="AS37" s="17"/>
      <c r="AT37" s="3">
        <v>0</v>
      </c>
      <c r="AU37" s="17"/>
      <c r="AV37" s="23">
        <f t="shared" si="3"/>
        <v>800000</v>
      </c>
      <c r="AW37" s="17"/>
      <c r="AX37" s="23">
        <f t="shared" si="1"/>
        <v>24974497</v>
      </c>
    </row>
    <row r="38" spans="1:50" s="16" customFormat="1" ht="12">
      <c r="A38" s="3" t="s">
        <v>249</v>
      </c>
      <c r="B38" s="3"/>
      <c r="C38" s="3" t="s">
        <v>191</v>
      </c>
      <c r="D38" s="3"/>
      <c r="E38" s="3">
        <v>51243</v>
      </c>
      <c r="F38" s="3"/>
      <c r="G38" s="17">
        <v>6100209</v>
      </c>
      <c r="H38" s="17"/>
      <c r="I38" s="17"/>
      <c r="J38" s="17"/>
      <c r="K38" s="17">
        <v>5098952</v>
      </c>
      <c r="L38" s="17"/>
      <c r="M38" s="17">
        <v>426830</v>
      </c>
      <c r="N38" s="17"/>
      <c r="O38" s="17">
        <v>848524</v>
      </c>
      <c r="P38" s="17"/>
      <c r="Q38" s="17">
        <v>0</v>
      </c>
      <c r="R38" s="17"/>
      <c r="S38" s="17">
        <v>0</v>
      </c>
      <c r="T38" s="17"/>
      <c r="U38" s="17">
        <v>1936</v>
      </c>
      <c r="V38" s="17"/>
      <c r="W38" s="17">
        <f>154472+8243+73357</f>
        <v>236072</v>
      </c>
      <c r="X38" s="17"/>
      <c r="Y38" s="23">
        <f t="shared" si="2"/>
        <v>12712523</v>
      </c>
      <c r="Z38" s="17"/>
      <c r="AA38" s="17">
        <v>901706</v>
      </c>
      <c r="AB38" s="17"/>
      <c r="AC38" s="17">
        <v>0</v>
      </c>
      <c r="AD38" s="17"/>
      <c r="AE38" s="17">
        <v>0</v>
      </c>
      <c r="AF38" s="17"/>
      <c r="AG38" s="17">
        <v>0</v>
      </c>
      <c r="AH38" s="3" t="s">
        <v>249</v>
      </c>
      <c r="AJ38" s="16" t="s">
        <v>191</v>
      </c>
      <c r="AK38" s="17"/>
      <c r="AL38" s="17">
        <v>0</v>
      </c>
      <c r="AM38" s="17"/>
      <c r="AN38" s="17">
        <v>34988</v>
      </c>
      <c r="AO38" s="17"/>
      <c r="AP38" s="17">
        <v>0</v>
      </c>
      <c r="AQ38" s="17"/>
      <c r="AR38" s="17">
        <v>16360000</v>
      </c>
      <c r="AS38" s="17"/>
      <c r="AT38" s="17">
        <v>2156219</v>
      </c>
      <c r="AU38" s="17"/>
      <c r="AV38" s="23">
        <f t="shared" si="3"/>
        <v>19452913</v>
      </c>
      <c r="AW38" s="17"/>
      <c r="AX38" s="23">
        <f t="shared" si="1"/>
        <v>32165436</v>
      </c>
    </row>
    <row r="39" spans="1:50" s="16" customFormat="1" ht="12">
      <c r="A39" s="3" t="s">
        <v>294</v>
      </c>
      <c r="B39" s="3"/>
      <c r="C39" s="3" t="s">
        <v>207</v>
      </c>
      <c r="D39" s="3"/>
      <c r="E39" s="3">
        <v>51391</v>
      </c>
      <c r="F39" s="3"/>
      <c r="G39" s="17">
        <v>6733523</v>
      </c>
      <c r="H39" s="17"/>
      <c r="I39" s="17"/>
      <c r="J39" s="17"/>
      <c r="K39" s="17">
        <v>6645133</v>
      </c>
      <c r="L39" s="17"/>
      <c r="M39" s="17">
        <v>491535</v>
      </c>
      <c r="N39" s="17"/>
      <c r="O39" s="17">
        <v>395919</v>
      </c>
      <c r="P39" s="17"/>
      <c r="Q39" s="17">
        <v>0</v>
      </c>
      <c r="R39" s="17"/>
      <c r="S39" s="17">
        <v>0</v>
      </c>
      <c r="T39" s="17"/>
      <c r="U39" s="17">
        <v>8414</v>
      </c>
      <c r="V39" s="17"/>
      <c r="W39" s="17">
        <f>17080+434232+52722</f>
        <v>504034</v>
      </c>
      <c r="X39" s="17"/>
      <c r="Y39" s="23">
        <f t="shared" si="2"/>
        <v>14778558</v>
      </c>
      <c r="Z39" s="17"/>
      <c r="AA39" s="17">
        <v>10729</v>
      </c>
      <c r="AB39" s="17"/>
      <c r="AC39" s="17">
        <v>0</v>
      </c>
      <c r="AD39" s="17"/>
      <c r="AE39" s="17">
        <v>0</v>
      </c>
      <c r="AF39" s="17"/>
      <c r="AG39" s="17">
        <v>0</v>
      </c>
      <c r="AH39" s="3" t="s">
        <v>294</v>
      </c>
      <c r="AJ39" s="16" t="s">
        <v>207</v>
      </c>
      <c r="AK39" s="17"/>
      <c r="AL39" s="17">
        <v>0</v>
      </c>
      <c r="AM39" s="17"/>
      <c r="AN39" s="17">
        <v>0</v>
      </c>
      <c r="AO39" s="17"/>
      <c r="AP39" s="17">
        <v>0</v>
      </c>
      <c r="AQ39" s="17"/>
      <c r="AR39" s="17">
        <v>0</v>
      </c>
      <c r="AS39" s="17"/>
      <c r="AT39" s="17">
        <v>0</v>
      </c>
      <c r="AU39" s="17"/>
      <c r="AV39" s="23">
        <f t="shared" si="3"/>
        <v>10729</v>
      </c>
      <c r="AW39" s="17"/>
      <c r="AX39" s="23">
        <f t="shared" si="1"/>
        <v>14789287</v>
      </c>
    </row>
    <row r="40" spans="1:50" s="16" customFormat="1" ht="12">
      <c r="A40" s="3" t="s">
        <v>252</v>
      </c>
      <c r="B40" s="3"/>
      <c r="C40" s="3" t="s">
        <v>193</v>
      </c>
      <c r="D40" s="3"/>
      <c r="E40" s="3">
        <v>62109</v>
      </c>
      <c r="F40" s="3"/>
      <c r="G40" s="17">
        <v>7881950</v>
      </c>
      <c r="H40" s="17"/>
      <c r="I40" s="17"/>
      <c r="J40" s="17"/>
      <c r="K40" s="17">
        <v>8951810</v>
      </c>
      <c r="L40" s="17"/>
      <c r="M40" s="17">
        <v>9724</v>
      </c>
      <c r="N40" s="17"/>
      <c r="O40" s="17">
        <v>13846</v>
      </c>
      <c r="P40" s="17"/>
      <c r="Q40" s="17">
        <v>18242</v>
      </c>
      <c r="R40" s="17"/>
      <c r="S40" s="17">
        <v>20029</v>
      </c>
      <c r="T40" s="17"/>
      <c r="U40" s="17">
        <v>0</v>
      </c>
      <c r="V40" s="17"/>
      <c r="W40" s="17">
        <f>2420+150645+203879</f>
        <v>356944</v>
      </c>
      <c r="X40" s="17"/>
      <c r="Y40" s="23">
        <f t="shared" si="2"/>
        <v>17252545</v>
      </c>
      <c r="Z40" s="17"/>
      <c r="AA40" s="17">
        <v>0</v>
      </c>
      <c r="AB40" s="17"/>
      <c r="AC40" s="17">
        <v>0</v>
      </c>
      <c r="AD40" s="17"/>
      <c r="AE40" s="17">
        <v>0</v>
      </c>
      <c r="AF40" s="17"/>
      <c r="AG40" s="17">
        <v>0</v>
      </c>
      <c r="AH40" s="3" t="s">
        <v>252</v>
      </c>
      <c r="AJ40" s="16" t="s">
        <v>193</v>
      </c>
      <c r="AK40" s="17"/>
      <c r="AL40" s="17">
        <v>0</v>
      </c>
      <c r="AM40" s="17"/>
      <c r="AN40" s="17">
        <v>0</v>
      </c>
      <c r="AO40" s="17"/>
      <c r="AP40" s="17">
        <v>0</v>
      </c>
      <c r="AQ40" s="17"/>
      <c r="AR40" s="17">
        <v>0</v>
      </c>
      <c r="AS40" s="17"/>
      <c r="AT40" s="17">
        <v>0</v>
      </c>
      <c r="AU40" s="17"/>
      <c r="AV40" s="23">
        <f t="shared" si="3"/>
        <v>0</v>
      </c>
      <c r="AW40" s="17"/>
      <c r="AX40" s="23">
        <f t="shared" si="1"/>
        <v>17252545</v>
      </c>
    </row>
    <row r="41" spans="1:50" s="16" customFormat="1" ht="12">
      <c r="A41" s="3" t="s">
        <v>295</v>
      </c>
      <c r="B41" s="3"/>
      <c r="C41" s="3" t="s">
        <v>199</v>
      </c>
      <c r="D41" s="3"/>
      <c r="E41" s="3">
        <v>51284</v>
      </c>
      <c r="F41" s="3"/>
      <c r="G41" s="17">
        <v>12514593</v>
      </c>
      <c r="H41" s="17"/>
      <c r="I41" s="17"/>
      <c r="J41" s="17"/>
      <c r="K41" s="17">
        <v>18382973</v>
      </c>
      <c r="L41" s="17"/>
      <c r="M41" s="17">
        <v>19395</v>
      </c>
      <c r="N41" s="17"/>
      <c r="O41" s="17">
        <v>3934169</v>
      </c>
      <c r="P41" s="17"/>
      <c r="Q41" s="17">
        <v>19616</v>
      </c>
      <c r="R41" s="17"/>
      <c r="S41" s="17">
        <v>0</v>
      </c>
      <c r="T41" s="17"/>
      <c r="U41" s="17">
        <v>0</v>
      </c>
      <c r="V41" s="17"/>
      <c r="W41" s="17">
        <f>56351+516075</f>
        <v>572426</v>
      </c>
      <c r="X41" s="17"/>
      <c r="Y41" s="23">
        <f t="shared" si="2"/>
        <v>35443172</v>
      </c>
      <c r="Z41" s="17"/>
      <c r="AA41" s="17">
        <v>747395</v>
      </c>
      <c r="AB41" s="17"/>
      <c r="AC41" s="17">
        <v>0</v>
      </c>
      <c r="AD41" s="17"/>
      <c r="AE41" s="17">
        <v>0</v>
      </c>
      <c r="AF41" s="17"/>
      <c r="AG41" s="17">
        <v>0</v>
      </c>
      <c r="AH41" s="3" t="s">
        <v>295</v>
      </c>
      <c r="AJ41" s="16" t="s">
        <v>199</v>
      </c>
      <c r="AK41" s="17"/>
      <c r="AL41" s="17">
        <v>0</v>
      </c>
      <c r="AM41" s="17"/>
      <c r="AN41" s="17">
        <v>537919</v>
      </c>
      <c r="AO41" s="17"/>
      <c r="AP41" s="17">
        <v>0</v>
      </c>
      <c r="AQ41" s="17"/>
      <c r="AR41" s="17">
        <v>0</v>
      </c>
      <c r="AS41" s="17"/>
      <c r="AT41" s="3">
        <v>0</v>
      </c>
      <c r="AU41" s="17"/>
      <c r="AV41" s="23">
        <f t="shared" si="3"/>
        <v>1285314</v>
      </c>
      <c r="AW41" s="17"/>
      <c r="AX41" s="23">
        <f t="shared" si="1"/>
        <v>36728486</v>
      </c>
    </row>
    <row r="42" spans="1:50" s="16" customFormat="1" ht="12">
      <c r="A42" s="3" t="s">
        <v>296</v>
      </c>
      <c r="B42" s="3"/>
      <c r="C42" s="3" t="s">
        <v>201</v>
      </c>
      <c r="D42" s="3"/>
      <c r="E42" s="3">
        <v>51300</v>
      </c>
      <c r="F42" s="3"/>
      <c r="G42" s="17">
        <v>6727042</v>
      </c>
      <c r="H42" s="17"/>
      <c r="I42" s="17"/>
      <c r="J42" s="17"/>
      <c r="K42" s="17">
        <v>11350020</v>
      </c>
      <c r="L42" s="17"/>
      <c r="M42" s="17">
        <v>298554</v>
      </c>
      <c r="N42" s="17"/>
      <c r="O42" s="17">
        <v>2962505</v>
      </c>
      <c r="P42" s="17"/>
      <c r="Q42" s="17">
        <v>0</v>
      </c>
      <c r="R42" s="17"/>
      <c r="S42" s="17">
        <v>36275</v>
      </c>
      <c r="T42" s="17"/>
      <c r="U42" s="17">
        <v>88649</v>
      </c>
      <c r="V42" s="17"/>
      <c r="W42" s="17">
        <f>660+461015+76869</f>
        <v>538544</v>
      </c>
      <c r="X42" s="17"/>
      <c r="Y42" s="23">
        <f t="shared" si="2"/>
        <v>22001589</v>
      </c>
      <c r="Z42" s="17"/>
      <c r="AA42" s="17">
        <v>58050</v>
      </c>
      <c r="AB42" s="17"/>
      <c r="AC42" s="17">
        <f>8855000+233319</f>
        <v>9088319</v>
      </c>
      <c r="AD42" s="17"/>
      <c r="AE42" s="17">
        <v>0</v>
      </c>
      <c r="AF42" s="17"/>
      <c r="AG42" s="17">
        <v>0</v>
      </c>
      <c r="AH42" s="3" t="s">
        <v>296</v>
      </c>
      <c r="AJ42" s="16" t="s">
        <v>201</v>
      </c>
      <c r="AK42" s="17"/>
      <c r="AL42" s="17">
        <v>43150</v>
      </c>
      <c r="AM42" s="17"/>
      <c r="AN42" s="17">
        <v>0</v>
      </c>
      <c r="AO42" s="17"/>
      <c r="AP42" s="17">
        <v>0</v>
      </c>
      <c r="AQ42" s="17"/>
      <c r="AR42" s="17">
        <f>11965000+504080</f>
        <v>12469080</v>
      </c>
      <c r="AS42" s="17"/>
      <c r="AT42" s="17">
        <v>0</v>
      </c>
      <c r="AU42" s="17"/>
      <c r="AV42" s="23">
        <f t="shared" si="3"/>
        <v>21658599</v>
      </c>
      <c r="AW42" s="17"/>
      <c r="AX42" s="23">
        <f t="shared" si="1"/>
        <v>43660188</v>
      </c>
    </row>
    <row r="43" spans="1:50" s="16" customFormat="1" ht="12">
      <c r="A43" s="3" t="s">
        <v>245</v>
      </c>
      <c r="B43" s="3"/>
      <c r="C43" s="3" t="s">
        <v>188</v>
      </c>
      <c r="D43" s="3"/>
      <c r="E43" s="3">
        <v>51334</v>
      </c>
      <c r="F43" s="3"/>
      <c r="G43" s="17">
        <v>5267824</v>
      </c>
      <c r="H43" s="17"/>
      <c r="I43" s="17"/>
      <c r="J43" s="17"/>
      <c r="K43" s="17">
        <v>7987983</v>
      </c>
      <c r="L43" s="17"/>
      <c r="M43" s="17">
        <v>71591</v>
      </c>
      <c r="N43" s="17"/>
      <c r="O43" s="17">
        <v>1744330</v>
      </c>
      <c r="P43" s="17"/>
      <c r="Q43" s="17">
        <v>0</v>
      </c>
      <c r="R43" s="17"/>
      <c r="S43" s="17">
        <v>0</v>
      </c>
      <c r="T43" s="17"/>
      <c r="U43" s="17">
        <v>0</v>
      </c>
      <c r="V43" s="17"/>
      <c r="W43" s="17">
        <f>278619+244501</f>
        <v>523120</v>
      </c>
      <c r="X43" s="17"/>
      <c r="Y43" s="23">
        <f t="shared" si="2"/>
        <v>15594848</v>
      </c>
      <c r="Z43" s="17"/>
      <c r="AA43" s="17">
        <v>79596</v>
      </c>
      <c r="AB43" s="17"/>
      <c r="AC43" s="17">
        <v>0</v>
      </c>
      <c r="AD43" s="17"/>
      <c r="AE43" s="17">
        <v>0</v>
      </c>
      <c r="AF43" s="17"/>
      <c r="AG43" s="17">
        <v>0</v>
      </c>
      <c r="AH43" s="3" t="s">
        <v>245</v>
      </c>
      <c r="AJ43" s="16" t="s">
        <v>188</v>
      </c>
      <c r="AK43" s="17"/>
      <c r="AL43" s="17">
        <v>0</v>
      </c>
      <c r="AM43" s="17"/>
      <c r="AN43" s="17">
        <v>0</v>
      </c>
      <c r="AO43" s="17"/>
      <c r="AP43" s="17">
        <v>0</v>
      </c>
      <c r="AQ43" s="17"/>
      <c r="AR43" s="17">
        <v>0</v>
      </c>
      <c r="AS43" s="17"/>
      <c r="AT43" s="17">
        <v>0</v>
      </c>
      <c r="AU43" s="17"/>
      <c r="AV43" s="23">
        <f t="shared" si="3"/>
        <v>79596</v>
      </c>
      <c r="AW43" s="17"/>
      <c r="AX43" s="23">
        <f t="shared" si="1"/>
        <v>15674444</v>
      </c>
    </row>
    <row r="44" spans="1:50" s="16" customFormat="1" ht="12">
      <c r="A44" s="3" t="s">
        <v>297</v>
      </c>
      <c r="B44" s="3"/>
      <c r="C44" s="3" t="s">
        <v>236</v>
      </c>
      <c r="D44" s="3"/>
      <c r="E44" s="3">
        <v>51359</v>
      </c>
      <c r="F44" s="3"/>
      <c r="G44" s="17">
        <v>15111016</v>
      </c>
      <c r="H44" s="17"/>
      <c r="I44" s="17">
        <v>0</v>
      </c>
      <c r="J44" s="17"/>
      <c r="K44" s="17">
        <f>17496063+897744</f>
        <v>18393807</v>
      </c>
      <c r="L44" s="17"/>
      <c r="M44" s="17">
        <v>145310</v>
      </c>
      <c r="N44" s="17"/>
      <c r="O44" s="17">
        <v>472663</v>
      </c>
      <c r="P44" s="17"/>
      <c r="Q44" s="17">
        <v>23718</v>
      </c>
      <c r="R44" s="17"/>
      <c r="S44" s="17">
        <v>262509</v>
      </c>
      <c r="T44" s="17"/>
      <c r="U44" s="17">
        <v>18995</v>
      </c>
      <c r="V44" s="17"/>
      <c r="W44" s="17">
        <f>389501+240009-121032+6460+3849+19466</f>
        <v>538253</v>
      </c>
      <c r="X44" s="17"/>
      <c r="Y44" s="23">
        <f t="shared" si="2"/>
        <v>34966271</v>
      </c>
      <c r="Z44" s="17"/>
      <c r="AA44" s="17">
        <v>6232600</v>
      </c>
      <c r="AB44" s="17"/>
      <c r="AC44" s="17">
        <v>0</v>
      </c>
      <c r="AD44" s="17"/>
      <c r="AE44" s="17">
        <v>0</v>
      </c>
      <c r="AF44" s="17"/>
      <c r="AG44" s="17">
        <v>0</v>
      </c>
      <c r="AH44" s="3" t="s">
        <v>297</v>
      </c>
      <c r="AJ44" s="16" t="s">
        <v>236</v>
      </c>
      <c r="AK44" s="17"/>
      <c r="AL44" s="17">
        <v>10667</v>
      </c>
      <c r="AM44" s="17"/>
      <c r="AN44" s="17">
        <v>0</v>
      </c>
      <c r="AO44" s="17"/>
      <c r="AP44" s="17">
        <v>0</v>
      </c>
      <c r="AQ44" s="17"/>
      <c r="AR44" s="17">
        <v>0</v>
      </c>
      <c r="AS44" s="17"/>
      <c r="AT44" s="17">
        <v>0</v>
      </c>
      <c r="AU44" s="17"/>
      <c r="AV44" s="23">
        <f t="shared" si="3"/>
        <v>6243267</v>
      </c>
      <c r="AW44" s="17"/>
      <c r="AX44" s="23">
        <f t="shared" si="1"/>
        <v>41209538</v>
      </c>
    </row>
    <row r="45" spans="1:50" s="16" customFormat="1" ht="12">
      <c r="A45" s="3" t="s">
        <v>298</v>
      </c>
      <c r="B45" s="3"/>
      <c r="C45" s="3" t="s">
        <v>214</v>
      </c>
      <c r="D45" s="3"/>
      <c r="E45" s="3">
        <v>51433</v>
      </c>
      <c r="F45" s="3"/>
      <c r="G45" s="17">
        <v>5012013</v>
      </c>
      <c r="H45" s="17"/>
      <c r="I45" s="17">
        <v>0</v>
      </c>
      <c r="J45" s="17"/>
      <c r="K45" s="17">
        <v>12945152</v>
      </c>
      <c r="L45" s="17"/>
      <c r="M45" s="17">
        <v>54450</v>
      </c>
      <c r="N45" s="17"/>
      <c r="O45" s="17">
        <v>1335201</v>
      </c>
      <c r="P45" s="17"/>
      <c r="Q45" s="17">
        <v>0</v>
      </c>
      <c r="R45" s="17"/>
      <c r="S45" s="17">
        <v>566</v>
      </c>
      <c r="T45" s="17"/>
      <c r="U45" s="17">
        <v>10030</v>
      </c>
      <c r="V45" s="17"/>
      <c r="W45" s="17">
        <f>1236+1484459+107743</f>
        <v>1593438</v>
      </c>
      <c r="X45" s="17"/>
      <c r="Y45" s="23">
        <f t="shared" si="2"/>
        <v>20950850</v>
      </c>
      <c r="Z45" s="17"/>
      <c r="AA45" s="17">
        <v>1067251</v>
      </c>
      <c r="AB45" s="17"/>
      <c r="AC45" s="17">
        <v>0</v>
      </c>
      <c r="AD45" s="17"/>
      <c r="AE45" s="17">
        <v>0</v>
      </c>
      <c r="AF45" s="17"/>
      <c r="AG45" s="17">
        <v>0</v>
      </c>
      <c r="AH45" s="3" t="s">
        <v>298</v>
      </c>
      <c r="AJ45" s="16" t="s">
        <v>214</v>
      </c>
      <c r="AK45" s="17"/>
      <c r="AL45" s="17">
        <v>0</v>
      </c>
      <c r="AM45" s="17"/>
      <c r="AN45" s="17">
        <v>0</v>
      </c>
      <c r="AO45" s="17"/>
      <c r="AP45" s="17">
        <v>0</v>
      </c>
      <c r="AQ45" s="17"/>
      <c r="AR45" s="17">
        <v>0</v>
      </c>
      <c r="AS45" s="17"/>
      <c r="AT45" s="3">
        <v>888297</v>
      </c>
      <c r="AU45" s="17"/>
      <c r="AV45" s="23">
        <f t="shared" si="3"/>
        <v>1955548</v>
      </c>
      <c r="AW45" s="17"/>
      <c r="AX45" s="23">
        <f t="shared" si="1"/>
        <v>22906398</v>
      </c>
    </row>
    <row r="46" spans="1:50" s="16" customFormat="1" ht="12">
      <c r="A46" s="3" t="s">
        <v>299</v>
      </c>
      <c r="B46" s="3"/>
      <c r="C46" s="3" t="s">
        <v>254</v>
      </c>
      <c r="D46" s="3"/>
      <c r="E46" s="3">
        <v>51375</v>
      </c>
      <c r="F46" s="3"/>
      <c r="G46" s="17">
        <v>1115078</v>
      </c>
      <c r="H46" s="17"/>
      <c r="I46" s="17">
        <v>0</v>
      </c>
      <c r="J46" s="17"/>
      <c r="K46" s="17">
        <v>5994280</v>
      </c>
      <c r="L46" s="17"/>
      <c r="M46" s="17">
        <v>22204</v>
      </c>
      <c r="N46" s="17"/>
      <c r="O46" s="17">
        <v>434233</v>
      </c>
      <c r="P46" s="17"/>
      <c r="Q46" s="17">
        <v>0</v>
      </c>
      <c r="R46" s="17"/>
      <c r="S46" s="17">
        <v>516</v>
      </c>
      <c r="T46" s="17"/>
      <c r="U46" s="17">
        <v>4706</v>
      </c>
      <c r="V46" s="17"/>
      <c r="W46" s="17">
        <f>30600+136437+198938</f>
        <v>365975</v>
      </c>
      <c r="X46" s="17"/>
      <c r="Y46" s="23">
        <f t="shared" si="2"/>
        <v>7936992</v>
      </c>
      <c r="Z46" s="17"/>
      <c r="AA46" s="17">
        <v>306047</v>
      </c>
      <c r="AB46" s="17"/>
      <c r="AC46" s="17">
        <v>0</v>
      </c>
      <c r="AD46" s="17"/>
      <c r="AE46" s="17">
        <v>0</v>
      </c>
      <c r="AF46" s="17"/>
      <c r="AG46" s="17">
        <v>0</v>
      </c>
      <c r="AH46" s="3" t="s">
        <v>299</v>
      </c>
      <c r="AJ46" s="16" t="s">
        <v>254</v>
      </c>
      <c r="AK46" s="17"/>
      <c r="AL46" s="17">
        <v>0</v>
      </c>
      <c r="AM46" s="17"/>
      <c r="AN46" s="17">
        <v>0</v>
      </c>
      <c r="AO46" s="17"/>
      <c r="AP46" s="17">
        <v>0</v>
      </c>
      <c r="AQ46" s="17"/>
      <c r="AR46" s="17">
        <v>0</v>
      </c>
      <c r="AS46" s="17"/>
      <c r="AT46" s="17">
        <v>0</v>
      </c>
      <c r="AU46" s="17"/>
      <c r="AV46" s="23">
        <f t="shared" si="3"/>
        <v>306047</v>
      </c>
      <c r="AW46" s="17"/>
      <c r="AX46" s="23">
        <f t="shared" ref="AX46:AX64" si="4">+AV46+Y46</f>
        <v>8243039</v>
      </c>
    </row>
    <row r="47" spans="1:50" s="16" customFormat="1" ht="12">
      <c r="A47" s="3" t="s">
        <v>300</v>
      </c>
      <c r="B47" s="3"/>
      <c r="C47" s="3" t="s">
        <v>212</v>
      </c>
      <c r="D47" s="3"/>
      <c r="E47" s="3">
        <v>51417</v>
      </c>
      <c r="F47" s="3"/>
      <c r="G47" s="17">
        <v>4121373</v>
      </c>
      <c r="H47" s="17"/>
      <c r="I47" s="17">
        <v>0</v>
      </c>
      <c r="J47" s="17"/>
      <c r="K47" s="17">
        <f>160286+18946418+713089</f>
        <v>19819793</v>
      </c>
      <c r="L47" s="17"/>
      <c r="M47" s="17">
        <v>334143</v>
      </c>
      <c r="N47" s="17"/>
      <c r="O47" s="17">
        <v>411776</v>
      </c>
      <c r="P47" s="17"/>
      <c r="Q47" s="17">
        <v>20142</v>
      </c>
      <c r="R47" s="17"/>
      <c r="S47" s="17">
        <v>0</v>
      </c>
      <c r="T47" s="17"/>
      <c r="U47" s="17">
        <v>7219</v>
      </c>
      <c r="V47" s="17"/>
      <c r="W47" s="17">
        <f>246852+189476+191191+108219</f>
        <v>735738</v>
      </c>
      <c r="X47" s="17"/>
      <c r="Y47" s="23">
        <f t="shared" si="2"/>
        <v>25450184</v>
      </c>
      <c r="Z47" s="17"/>
      <c r="AA47" s="17">
        <v>777824</v>
      </c>
      <c r="AB47" s="17"/>
      <c r="AC47" s="17">
        <v>0</v>
      </c>
      <c r="AD47" s="17"/>
      <c r="AE47" s="17">
        <v>0</v>
      </c>
      <c r="AF47" s="17"/>
      <c r="AG47" s="17">
        <v>0</v>
      </c>
      <c r="AH47" s="3" t="s">
        <v>300</v>
      </c>
      <c r="AJ47" s="16" t="s">
        <v>212</v>
      </c>
      <c r="AK47" s="17"/>
      <c r="AL47" s="17">
        <v>20670</v>
      </c>
      <c r="AM47" s="17"/>
      <c r="AN47" s="17">
        <v>4493</v>
      </c>
      <c r="AO47" s="17"/>
      <c r="AP47" s="17">
        <v>0</v>
      </c>
      <c r="AQ47" s="17"/>
      <c r="AR47" s="17">
        <v>0</v>
      </c>
      <c r="AS47" s="17"/>
      <c r="AT47" s="17">
        <v>0</v>
      </c>
      <c r="AU47" s="17"/>
      <c r="AV47" s="23">
        <f t="shared" si="3"/>
        <v>802987</v>
      </c>
      <c r="AW47" s="17"/>
      <c r="AX47" s="23">
        <f t="shared" si="4"/>
        <v>26253171</v>
      </c>
    </row>
    <row r="48" spans="1:50" s="16" customFormat="1" ht="12">
      <c r="A48" s="3" t="s">
        <v>301</v>
      </c>
      <c r="B48" s="3"/>
      <c r="C48" s="3" t="s">
        <v>167</v>
      </c>
      <c r="D48" s="3"/>
      <c r="E48" s="3">
        <v>50948</v>
      </c>
      <c r="F48" s="3"/>
      <c r="G48" s="17">
        <v>9225416</v>
      </c>
      <c r="H48" s="17"/>
      <c r="I48" s="17">
        <v>0</v>
      </c>
      <c r="J48" s="17"/>
      <c r="K48" s="17">
        <v>5146518</v>
      </c>
      <c r="L48" s="17"/>
      <c r="M48" s="17">
        <v>178903</v>
      </c>
      <c r="N48" s="17"/>
      <c r="O48" s="17">
        <v>158225</v>
      </c>
      <c r="P48" s="17"/>
      <c r="Q48" s="17">
        <v>0</v>
      </c>
      <c r="R48" s="17"/>
      <c r="S48" s="17">
        <v>0</v>
      </c>
      <c r="T48" s="17"/>
      <c r="U48" s="17">
        <v>0</v>
      </c>
      <c r="V48" s="17"/>
      <c r="W48" s="17">
        <v>52057</v>
      </c>
      <c r="X48" s="17"/>
      <c r="Y48" s="23">
        <f t="shared" si="2"/>
        <v>14761119</v>
      </c>
      <c r="Z48" s="17"/>
      <c r="AA48" s="17">
        <v>434675</v>
      </c>
      <c r="AB48" s="17"/>
      <c r="AC48" s="17">
        <v>0</v>
      </c>
      <c r="AD48" s="17"/>
      <c r="AE48" s="17">
        <v>0</v>
      </c>
      <c r="AF48" s="17"/>
      <c r="AG48" s="17">
        <v>0</v>
      </c>
      <c r="AH48" s="3" t="s">
        <v>301</v>
      </c>
      <c r="AJ48" s="16" t="s">
        <v>167</v>
      </c>
      <c r="AK48" s="17"/>
      <c r="AL48" s="17">
        <v>0</v>
      </c>
      <c r="AM48" s="17"/>
      <c r="AN48" s="17">
        <v>0</v>
      </c>
      <c r="AO48" s="17"/>
      <c r="AP48" s="17">
        <v>0</v>
      </c>
      <c r="AQ48" s="17"/>
      <c r="AR48" s="17">
        <v>0</v>
      </c>
      <c r="AS48" s="17"/>
      <c r="AT48" s="17">
        <v>0</v>
      </c>
      <c r="AU48" s="17"/>
      <c r="AV48" s="23">
        <f t="shared" si="3"/>
        <v>434675</v>
      </c>
      <c r="AW48" s="17"/>
      <c r="AX48" s="23">
        <f t="shared" si="4"/>
        <v>15195794</v>
      </c>
    </row>
    <row r="49" spans="1:50" s="16" customFormat="1" ht="12">
      <c r="A49" s="3" t="s">
        <v>302</v>
      </c>
      <c r="B49" s="3"/>
      <c r="C49" s="3" t="s">
        <v>223</v>
      </c>
      <c r="D49" s="3"/>
      <c r="E49" s="3">
        <v>63495</v>
      </c>
      <c r="F49" s="3"/>
      <c r="G49" s="17">
        <v>2954776</v>
      </c>
      <c r="H49" s="17"/>
      <c r="I49" s="17">
        <v>0</v>
      </c>
      <c r="J49" s="17"/>
      <c r="K49" s="17">
        <v>3552590</v>
      </c>
      <c r="L49" s="17"/>
      <c r="M49" s="17">
        <v>250915</v>
      </c>
      <c r="N49" s="17"/>
      <c r="O49" s="17">
        <v>1371943</v>
      </c>
      <c r="P49" s="17"/>
      <c r="Q49" s="17">
        <v>5863</v>
      </c>
      <c r="R49" s="17"/>
      <c r="S49" s="17">
        <v>0</v>
      </c>
      <c r="T49" s="17"/>
      <c r="U49" s="17">
        <v>11997</v>
      </c>
      <c r="V49" s="17"/>
      <c r="W49" s="17">
        <f>48027+81057</f>
        <v>129084</v>
      </c>
      <c r="X49" s="17"/>
      <c r="Y49" s="23">
        <f t="shared" si="2"/>
        <v>8277168</v>
      </c>
      <c r="Z49" s="17"/>
      <c r="AA49" s="17">
        <v>187819</v>
      </c>
      <c r="AB49" s="17"/>
      <c r="AC49" s="17">
        <v>0</v>
      </c>
      <c r="AD49" s="17"/>
      <c r="AE49" s="17">
        <v>0</v>
      </c>
      <c r="AF49" s="17"/>
      <c r="AG49" s="17">
        <v>0</v>
      </c>
      <c r="AH49" s="3" t="s">
        <v>302</v>
      </c>
      <c r="AJ49" s="16" t="s">
        <v>223</v>
      </c>
      <c r="AK49" s="17"/>
      <c r="AL49" s="17">
        <v>0</v>
      </c>
      <c r="AM49" s="17"/>
      <c r="AN49" s="17">
        <v>0</v>
      </c>
      <c r="AO49" s="17"/>
      <c r="AP49" s="17">
        <v>0</v>
      </c>
      <c r="AQ49" s="17"/>
      <c r="AR49" s="17">
        <v>0</v>
      </c>
      <c r="AS49" s="17"/>
      <c r="AT49" s="3">
        <v>0</v>
      </c>
      <c r="AU49" s="17"/>
      <c r="AV49" s="23">
        <f>SUM(AA49:AT49)</f>
        <v>187819</v>
      </c>
      <c r="AW49" s="17"/>
      <c r="AX49" s="23">
        <f t="shared" si="4"/>
        <v>8464987</v>
      </c>
    </row>
    <row r="50" spans="1:50" s="16" customFormat="1" ht="12">
      <c r="A50" s="3" t="s">
        <v>303</v>
      </c>
      <c r="B50" s="3"/>
      <c r="C50" s="3" t="s">
        <v>217</v>
      </c>
      <c r="D50" s="3"/>
      <c r="E50" s="3">
        <v>51490</v>
      </c>
      <c r="F50" s="3"/>
      <c r="G50" s="17">
        <v>2281075</v>
      </c>
      <c r="H50" s="17"/>
      <c r="I50" s="17">
        <v>0</v>
      </c>
      <c r="J50" s="17"/>
      <c r="K50" s="17">
        <v>6516183</v>
      </c>
      <c r="L50" s="17"/>
      <c r="M50" s="17">
        <v>83447</v>
      </c>
      <c r="N50" s="17"/>
      <c r="O50" s="17">
        <v>1841928</v>
      </c>
      <c r="P50" s="17"/>
      <c r="Q50" s="17">
        <v>81850</v>
      </c>
      <c r="R50" s="17"/>
      <c r="S50" s="17">
        <v>0</v>
      </c>
      <c r="T50" s="17"/>
      <c r="U50" s="17">
        <v>500</v>
      </c>
      <c r="V50" s="17"/>
      <c r="W50" s="17">
        <f>90392+10075+82928</f>
        <v>183395</v>
      </c>
      <c r="X50" s="17"/>
      <c r="Y50" s="23">
        <f t="shared" si="2"/>
        <v>10988378</v>
      </c>
      <c r="Z50" s="17"/>
      <c r="AA50" s="17">
        <v>624052</v>
      </c>
      <c r="AB50" s="17"/>
      <c r="AC50" s="17">
        <v>0</v>
      </c>
      <c r="AD50" s="17"/>
      <c r="AE50" s="17">
        <v>0</v>
      </c>
      <c r="AF50" s="17"/>
      <c r="AG50" s="17">
        <v>0</v>
      </c>
      <c r="AH50" s="3" t="s">
        <v>303</v>
      </c>
      <c r="AJ50" s="16" t="s">
        <v>217</v>
      </c>
      <c r="AK50" s="17"/>
      <c r="AL50" s="17">
        <v>0</v>
      </c>
      <c r="AM50" s="17"/>
      <c r="AN50" s="17">
        <v>4198</v>
      </c>
      <c r="AO50" s="17"/>
      <c r="AP50" s="17">
        <v>0</v>
      </c>
      <c r="AQ50" s="17"/>
      <c r="AR50" s="17">
        <v>0</v>
      </c>
      <c r="AS50" s="17"/>
      <c r="AT50" s="17">
        <v>0</v>
      </c>
      <c r="AU50" s="17"/>
      <c r="AV50" s="23">
        <f t="shared" si="3"/>
        <v>628250</v>
      </c>
      <c r="AW50" s="17"/>
      <c r="AX50" s="23">
        <f t="shared" si="4"/>
        <v>11616628</v>
      </c>
    </row>
    <row r="51" spans="1:50" s="16" customFormat="1" ht="12">
      <c r="A51" s="3" t="s">
        <v>238</v>
      </c>
      <c r="B51" s="3"/>
      <c r="C51" s="3" t="s">
        <v>158</v>
      </c>
      <c r="D51" s="3"/>
      <c r="E51" s="3">
        <v>50799</v>
      </c>
      <c r="F51" s="3"/>
      <c r="G51" s="17">
        <v>2158783</v>
      </c>
      <c r="H51" s="17"/>
      <c r="I51" s="17">
        <v>0</v>
      </c>
      <c r="J51" s="17"/>
      <c r="K51" s="17">
        <v>4210829</v>
      </c>
      <c r="L51" s="17"/>
      <c r="M51" s="17">
        <v>156289</v>
      </c>
      <c r="N51" s="17"/>
      <c r="O51" s="17">
        <v>132991</v>
      </c>
      <c r="P51" s="17"/>
      <c r="Q51" s="17">
        <v>0</v>
      </c>
      <c r="R51" s="17"/>
      <c r="S51" s="17">
        <v>0</v>
      </c>
      <c r="T51" s="17"/>
      <c r="U51" s="17">
        <v>7665</v>
      </c>
      <c r="V51" s="17"/>
      <c r="W51" s="17">
        <f>876+164784+6031</f>
        <v>171691</v>
      </c>
      <c r="X51" s="17"/>
      <c r="Y51" s="23">
        <f t="shared" si="2"/>
        <v>6838248</v>
      </c>
      <c r="Z51" s="17"/>
      <c r="AA51" s="17">
        <v>341315</v>
      </c>
      <c r="AB51" s="17"/>
      <c r="AC51" s="17">
        <v>0</v>
      </c>
      <c r="AD51" s="17"/>
      <c r="AE51" s="17">
        <v>0</v>
      </c>
      <c r="AF51" s="17"/>
      <c r="AG51" s="17">
        <v>0</v>
      </c>
      <c r="AH51" s="3" t="s">
        <v>238</v>
      </c>
      <c r="AJ51" s="16" t="s">
        <v>158</v>
      </c>
      <c r="AK51" s="17"/>
      <c r="AL51" s="17">
        <v>0</v>
      </c>
      <c r="AM51" s="17"/>
      <c r="AN51" s="17">
        <v>3415</v>
      </c>
      <c r="AO51" s="17"/>
      <c r="AP51" s="17">
        <v>0</v>
      </c>
      <c r="AQ51" s="17"/>
      <c r="AR51" s="17">
        <v>0</v>
      </c>
      <c r="AS51" s="17"/>
      <c r="AT51" s="17">
        <v>0</v>
      </c>
      <c r="AU51" s="17"/>
      <c r="AV51" s="23">
        <f t="shared" si="3"/>
        <v>344730</v>
      </c>
      <c r="AW51" s="17"/>
      <c r="AX51" s="23">
        <f t="shared" si="4"/>
        <v>7182978</v>
      </c>
    </row>
    <row r="52" spans="1:50" s="16" customFormat="1" ht="12">
      <c r="A52" s="3" t="s">
        <v>336</v>
      </c>
      <c r="B52" s="3"/>
      <c r="C52" s="3" t="s">
        <v>161</v>
      </c>
      <c r="D52" s="3"/>
      <c r="E52" s="3">
        <v>51532</v>
      </c>
      <c r="F52" s="3"/>
      <c r="G52" s="17">
        <v>4873197</v>
      </c>
      <c r="H52" s="17"/>
      <c r="I52" s="17">
        <v>0</v>
      </c>
      <c r="J52" s="17"/>
      <c r="K52" s="17">
        <v>7295239</v>
      </c>
      <c r="L52" s="17"/>
      <c r="M52" s="17">
        <v>39105</v>
      </c>
      <c r="N52" s="17"/>
      <c r="O52" s="17">
        <v>40975</v>
      </c>
      <c r="P52" s="17"/>
      <c r="Q52" s="17">
        <v>0</v>
      </c>
      <c r="R52" s="17"/>
      <c r="S52" s="17">
        <v>0</v>
      </c>
      <c r="T52" s="17"/>
      <c r="U52" s="17">
        <v>19307</v>
      </c>
      <c r="V52" s="17"/>
      <c r="W52" s="17">
        <f>179637+2236+28173</f>
        <v>210046</v>
      </c>
      <c r="X52" s="17"/>
      <c r="Y52" s="23">
        <f t="shared" si="2"/>
        <v>12477869</v>
      </c>
      <c r="Z52" s="17"/>
      <c r="AA52" s="17">
        <v>155252</v>
      </c>
      <c r="AB52" s="17"/>
      <c r="AC52" s="17">
        <v>0</v>
      </c>
      <c r="AD52" s="17"/>
      <c r="AE52" s="17">
        <v>0</v>
      </c>
      <c r="AF52" s="17"/>
      <c r="AG52" s="17">
        <v>0</v>
      </c>
      <c r="AH52" s="3" t="s">
        <v>336</v>
      </c>
      <c r="AJ52" s="16" t="s">
        <v>161</v>
      </c>
      <c r="AK52" s="17"/>
      <c r="AL52" s="17">
        <v>0</v>
      </c>
      <c r="AM52" s="17"/>
      <c r="AN52" s="17">
        <v>49769</v>
      </c>
      <c r="AO52" s="17"/>
      <c r="AP52" s="17">
        <v>0</v>
      </c>
      <c r="AQ52" s="17"/>
      <c r="AR52" s="17">
        <v>0</v>
      </c>
      <c r="AS52" s="17"/>
      <c r="AT52" s="17">
        <v>0</v>
      </c>
      <c r="AU52" s="17"/>
      <c r="AV52" s="23">
        <f t="shared" si="3"/>
        <v>205021</v>
      </c>
      <c r="AW52" s="17"/>
      <c r="AX52" s="23">
        <f t="shared" si="4"/>
        <v>12682890</v>
      </c>
    </row>
    <row r="53" spans="1:50" s="16" customFormat="1" ht="12">
      <c r="A53" s="3" t="s">
        <v>255</v>
      </c>
      <c r="B53" s="3"/>
      <c r="C53" s="3" t="s">
        <v>221</v>
      </c>
      <c r="D53" s="3"/>
      <c r="E53" s="3">
        <v>62026</v>
      </c>
      <c r="F53" s="3"/>
      <c r="G53" s="17">
        <v>2188249</v>
      </c>
      <c r="H53" s="17"/>
      <c r="I53" s="17">
        <v>0</v>
      </c>
      <c r="J53" s="17"/>
      <c r="K53" s="17">
        <f>2439+4869906+303218</f>
        <v>5175563</v>
      </c>
      <c r="L53" s="17"/>
      <c r="M53" s="17">
        <v>164006</v>
      </c>
      <c r="N53" s="17"/>
      <c r="O53" s="17">
        <v>31931</v>
      </c>
      <c r="P53" s="17"/>
      <c r="Q53" s="17">
        <v>0</v>
      </c>
      <c r="R53" s="17"/>
      <c r="S53" s="17">
        <v>0</v>
      </c>
      <c r="T53" s="17"/>
      <c r="U53" s="17">
        <v>0</v>
      </c>
      <c r="V53" s="17"/>
      <c r="W53" s="17">
        <f>131550+209342</f>
        <v>340892</v>
      </c>
      <c r="X53" s="17"/>
      <c r="Y53" s="23">
        <f t="shared" si="2"/>
        <v>7900641</v>
      </c>
      <c r="Z53" s="17"/>
      <c r="AA53" s="17">
        <v>0</v>
      </c>
      <c r="AB53" s="17"/>
      <c r="AC53" s="17">
        <v>0</v>
      </c>
      <c r="AD53" s="17"/>
      <c r="AE53" s="17">
        <v>0</v>
      </c>
      <c r="AF53" s="17"/>
      <c r="AG53" s="17">
        <v>0</v>
      </c>
      <c r="AH53" s="3" t="s">
        <v>255</v>
      </c>
      <c r="AJ53" s="16" t="s">
        <v>221</v>
      </c>
      <c r="AK53" s="17"/>
      <c r="AL53" s="17">
        <v>0</v>
      </c>
      <c r="AM53" s="17"/>
      <c r="AN53" s="17">
        <v>0</v>
      </c>
      <c r="AO53" s="17"/>
      <c r="AP53" s="17">
        <v>0</v>
      </c>
      <c r="AQ53" s="17"/>
      <c r="AR53" s="17">
        <v>0</v>
      </c>
      <c r="AS53" s="17"/>
      <c r="AT53" s="3">
        <v>0</v>
      </c>
      <c r="AU53" s="17"/>
      <c r="AV53" s="23">
        <f t="shared" si="3"/>
        <v>0</v>
      </c>
      <c r="AW53" s="17"/>
      <c r="AX53" s="23">
        <f t="shared" si="4"/>
        <v>7900641</v>
      </c>
    </row>
    <row r="54" spans="1:50" s="16" customFormat="1" ht="12">
      <c r="A54" s="3" t="s">
        <v>341</v>
      </c>
      <c r="B54" s="3"/>
      <c r="C54" s="3" t="s">
        <v>248</v>
      </c>
      <c r="D54" s="3"/>
      <c r="E54" s="3"/>
      <c r="F54" s="3"/>
      <c r="G54" s="17">
        <v>7649724</v>
      </c>
      <c r="H54" s="17"/>
      <c r="I54" s="17">
        <v>0</v>
      </c>
      <c r="J54" s="17"/>
      <c r="K54" s="17">
        <v>4026364</v>
      </c>
      <c r="L54" s="17"/>
      <c r="M54" s="17">
        <v>78598</v>
      </c>
      <c r="N54" s="17"/>
      <c r="O54" s="17">
        <v>390648</v>
      </c>
      <c r="P54" s="17"/>
      <c r="Q54" s="17">
        <v>0</v>
      </c>
      <c r="R54" s="17"/>
      <c r="S54" s="17">
        <v>0</v>
      </c>
      <c r="T54" s="17"/>
      <c r="U54" s="17">
        <v>0</v>
      </c>
      <c r="V54" s="17"/>
      <c r="W54" s="17">
        <f>184752+240354</f>
        <v>425106</v>
      </c>
      <c r="X54" s="17"/>
      <c r="Y54" s="23">
        <f t="shared" si="2"/>
        <v>12570440</v>
      </c>
      <c r="Z54" s="17"/>
      <c r="AA54" s="17">
        <v>998225</v>
      </c>
      <c r="AB54" s="17"/>
      <c r="AC54" s="17">
        <v>0</v>
      </c>
      <c r="AD54" s="17"/>
      <c r="AE54" s="17">
        <v>0</v>
      </c>
      <c r="AF54" s="17"/>
      <c r="AG54" s="17">
        <v>0</v>
      </c>
      <c r="AH54" s="3" t="s">
        <v>341</v>
      </c>
      <c r="AJ54" s="16" t="s">
        <v>248</v>
      </c>
      <c r="AK54" s="17"/>
      <c r="AL54" s="17">
        <v>0</v>
      </c>
      <c r="AM54" s="17"/>
      <c r="AN54" s="17">
        <v>54905</v>
      </c>
      <c r="AO54" s="17"/>
      <c r="AP54" s="17">
        <v>0</v>
      </c>
      <c r="AQ54" s="17"/>
      <c r="AR54" s="17">
        <v>0</v>
      </c>
      <c r="AS54" s="17"/>
      <c r="AT54" s="17">
        <v>0</v>
      </c>
      <c r="AU54" s="17"/>
      <c r="AV54" s="23">
        <f t="shared" si="3"/>
        <v>1053130</v>
      </c>
      <c r="AW54" s="17"/>
      <c r="AX54" s="23">
        <f t="shared" si="4"/>
        <v>13623570</v>
      </c>
    </row>
    <row r="55" spans="1:50" s="16" customFormat="1" ht="12">
      <c r="A55" s="3" t="s">
        <v>388</v>
      </c>
      <c r="B55" s="3"/>
      <c r="C55" s="3" t="s">
        <v>153</v>
      </c>
      <c r="D55" s="3"/>
      <c r="E55" s="3">
        <v>51607</v>
      </c>
      <c r="F55" s="3"/>
      <c r="G55" s="17">
        <v>3151851</v>
      </c>
      <c r="H55" s="17"/>
      <c r="I55" s="17">
        <v>0</v>
      </c>
      <c r="J55" s="17"/>
      <c r="K55" s="17">
        <v>4955313</v>
      </c>
      <c r="L55" s="17"/>
      <c r="M55" s="17">
        <v>121009</v>
      </c>
      <c r="N55" s="17"/>
      <c r="O55" s="17">
        <v>0</v>
      </c>
      <c r="P55" s="17"/>
      <c r="Q55" s="17">
        <v>0</v>
      </c>
      <c r="R55" s="17"/>
      <c r="S55" s="17">
        <v>0</v>
      </c>
      <c r="T55" s="17"/>
      <c r="U55" s="17">
        <v>0</v>
      </c>
      <c r="V55" s="17"/>
      <c r="W55" s="17">
        <f>35549+24326</f>
        <v>59875</v>
      </c>
      <c r="X55" s="17"/>
      <c r="Y55" s="23">
        <f t="shared" si="2"/>
        <v>8288048</v>
      </c>
      <c r="Z55" s="17"/>
      <c r="AA55" s="17">
        <v>203500</v>
      </c>
      <c r="AB55" s="17"/>
      <c r="AC55" s="17">
        <v>0</v>
      </c>
      <c r="AD55" s="17"/>
      <c r="AE55" s="17">
        <v>0</v>
      </c>
      <c r="AF55" s="17"/>
      <c r="AG55" s="17">
        <v>0</v>
      </c>
      <c r="AH55" s="3" t="s">
        <v>388</v>
      </c>
      <c r="AJ55" s="16" t="s">
        <v>153</v>
      </c>
      <c r="AK55" s="17"/>
      <c r="AL55" s="17">
        <v>0</v>
      </c>
      <c r="AM55" s="17"/>
      <c r="AN55" s="17">
        <v>90</v>
      </c>
      <c r="AO55" s="17"/>
      <c r="AP55" s="17">
        <v>0</v>
      </c>
      <c r="AQ55" s="17"/>
      <c r="AR55" s="17">
        <v>0</v>
      </c>
      <c r="AS55" s="17"/>
      <c r="AT55" s="17">
        <v>0</v>
      </c>
      <c r="AU55" s="17"/>
      <c r="AV55" s="23">
        <f t="shared" si="3"/>
        <v>203590</v>
      </c>
      <c r="AW55" s="17"/>
      <c r="AX55" s="23">
        <f t="shared" si="4"/>
        <v>8491638</v>
      </c>
    </row>
    <row r="56" spans="1:50" s="16" customFormat="1" ht="12">
      <c r="A56" s="3" t="s">
        <v>250</v>
      </c>
      <c r="B56" s="3"/>
      <c r="C56" s="3" t="s">
        <v>251</v>
      </c>
      <c r="D56" s="3"/>
      <c r="E56" s="3">
        <v>65268</v>
      </c>
      <c r="F56" s="3"/>
      <c r="G56" s="17">
        <v>3825463</v>
      </c>
      <c r="H56" s="17"/>
      <c r="I56" s="17">
        <v>0</v>
      </c>
      <c r="J56" s="17"/>
      <c r="K56" s="17">
        <v>7344135</v>
      </c>
      <c r="L56" s="17"/>
      <c r="M56" s="17">
        <v>15717</v>
      </c>
      <c r="N56" s="17"/>
      <c r="O56" s="17">
        <v>7590</v>
      </c>
      <c r="P56" s="17"/>
      <c r="Q56" s="17">
        <v>739</v>
      </c>
      <c r="R56" s="17"/>
      <c r="S56" s="17">
        <v>24308</v>
      </c>
      <c r="T56" s="17"/>
      <c r="U56" s="17">
        <v>6124</v>
      </c>
      <c r="V56" s="17"/>
      <c r="W56" s="17">
        <f>15743+67807</f>
        <v>83550</v>
      </c>
      <c r="X56" s="17"/>
      <c r="Y56" s="23">
        <f t="shared" si="2"/>
        <v>11307626</v>
      </c>
      <c r="Z56" s="17"/>
      <c r="AA56" s="17">
        <v>69464</v>
      </c>
      <c r="AB56" s="17"/>
      <c r="AC56" s="17">
        <v>0</v>
      </c>
      <c r="AD56" s="17"/>
      <c r="AE56" s="17">
        <v>0</v>
      </c>
      <c r="AF56" s="17"/>
      <c r="AG56" s="17">
        <v>0</v>
      </c>
      <c r="AH56" s="3" t="s">
        <v>250</v>
      </c>
      <c r="AJ56" s="16" t="s">
        <v>251</v>
      </c>
      <c r="AK56" s="17"/>
      <c r="AL56" s="17">
        <v>0</v>
      </c>
      <c r="AM56" s="17"/>
      <c r="AN56" s="17">
        <v>0</v>
      </c>
      <c r="AO56" s="17"/>
      <c r="AP56" s="17">
        <v>0</v>
      </c>
      <c r="AQ56" s="17"/>
      <c r="AR56" s="17">
        <v>0</v>
      </c>
      <c r="AS56" s="17"/>
      <c r="AT56" s="17">
        <v>0</v>
      </c>
      <c r="AU56" s="17"/>
      <c r="AV56" s="23">
        <f t="shared" si="3"/>
        <v>69464</v>
      </c>
      <c r="AW56" s="17"/>
      <c r="AX56" s="23">
        <f t="shared" si="4"/>
        <v>11377090</v>
      </c>
    </row>
    <row r="57" spans="1:50" s="16" customFormat="1" ht="12">
      <c r="A57" s="3" t="s">
        <v>304</v>
      </c>
      <c r="B57" s="3"/>
      <c r="C57" s="3" t="s">
        <v>225</v>
      </c>
      <c r="D57" s="3"/>
      <c r="E57" s="3">
        <v>51631</v>
      </c>
      <c r="F57" s="3"/>
      <c r="G57" s="17">
        <v>5024041</v>
      </c>
      <c r="H57" s="17"/>
      <c r="I57" s="17">
        <v>0</v>
      </c>
      <c r="J57" s="17"/>
      <c r="K57" s="17">
        <f>1000+7636679+1402922</f>
        <v>9040601</v>
      </c>
      <c r="L57" s="17"/>
      <c r="M57" s="17">
        <v>148387</v>
      </c>
      <c r="N57" s="17"/>
      <c r="O57" s="17">
        <v>0</v>
      </c>
      <c r="P57" s="17"/>
      <c r="Q57" s="17">
        <v>845</v>
      </c>
      <c r="R57" s="17"/>
      <c r="S57" s="17">
        <v>0</v>
      </c>
      <c r="T57" s="17"/>
      <c r="U57" s="17">
        <v>600</v>
      </c>
      <c r="V57" s="17"/>
      <c r="W57" s="17">
        <f>208225+87998+197990+122111+100882</f>
        <v>717206</v>
      </c>
      <c r="X57" s="17"/>
      <c r="Y57" s="23">
        <f t="shared" si="2"/>
        <v>14931680</v>
      </c>
      <c r="Z57" s="17"/>
      <c r="AA57" s="17">
        <v>485000</v>
      </c>
      <c r="AB57" s="17"/>
      <c r="AC57" s="17">
        <v>0</v>
      </c>
      <c r="AD57" s="17"/>
      <c r="AE57" s="17">
        <v>0</v>
      </c>
      <c r="AF57" s="17"/>
      <c r="AG57" s="17">
        <v>0</v>
      </c>
      <c r="AH57" s="3" t="s">
        <v>304</v>
      </c>
      <c r="AJ57" s="16" t="s">
        <v>225</v>
      </c>
      <c r="AK57" s="17"/>
      <c r="AL57" s="17">
        <v>0</v>
      </c>
      <c r="AM57" s="17"/>
      <c r="AN57" s="17">
        <v>0</v>
      </c>
      <c r="AO57" s="17"/>
      <c r="AP57" s="17">
        <v>0</v>
      </c>
      <c r="AQ57" s="17"/>
      <c r="AR57" s="17">
        <v>0</v>
      </c>
      <c r="AS57" s="17"/>
      <c r="AT57" s="3">
        <v>0</v>
      </c>
      <c r="AU57" s="17"/>
      <c r="AV57" s="23">
        <f t="shared" si="3"/>
        <v>485000</v>
      </c>
      <c r="AW57" s="17"/>
      <c r="AX57" s="23">
        <f t="shared" si="4"/>
        <v>15416680</v>
      </c>
    </row>
    <row r="58" spans="1:50" s="16" customFormat="1" ht="12">
      <c r="A58" s="3" t="s">
        <v>239</v>
      </c>
      <c r="B58" s="3"/>
      <c r="C58" s="3" t="s">
        <v>163</v>
      </c>
      <c r="D58" s="3"/>
      <c r="E58" s="3">
        <v>62802</v>
      </c>
      <c r="F58" s="3"/>
      <c r="G58" s="17">
        <v>3400938</v>
      </c>
      <c r="H58" s="17"/>
      <c r="I58" s="17">
        <v>0</v>
      </c>
      <c r="J58" s="17"/>
      <c r="K58" s="17">
        <v>4241523</v>
      </c>
      <c r="L58" s="17"/>
      <c r="M58" s="17">
        <v>235226</v>
      </c>
      <c r="N58" s="17"/>
      <c r="O58" s="17">
        <v>195227</v>
      </c>
      <c r="P58" s="17"/>
      <c r="Q58" s="17">
        <v>0</v>
      </c>
      <c r="R58" s="17"/>
      <c r="S58" s="17">
        <v>0</v>
      </c>
      <c r="T58" s="17"/>
      <c r="U58" s="17">
        <v>0</v>
      </c>
      <c r="V58" s="17"/>
      <c r="W58" s="17">
        <f>183663+66818</f>
        <v>250481</v>
      </c>
      <c r="X58" s="17"/>
      <c r="Y58" s="23">
        <f t="shared" si="2"/>
        <v>8323395</v>
      </c>
      <c r="Z58" s="17"/>
      <c r="AA58" s="17">
        <v>550000</v>
      </c>
      <c r="AB58" s="17"/>
      <c r="AC58" s="17">
        <v>0</v>
      </c>
      <c r="AD58" s="17"/>
      <c r="AE58" s="17">
        <v>0</v>
      </c>
      <c r="AF58" s="17"/>
      <c r="AG58" s="17">
        <v>0</v>
      </c>
      <c r="AH58" s="3" t="s">
        <v>239</v>
      </c>
      <c r="AJ58" s="16" t="s">
        <v>163</v>
      </c>
      <c r="AK58" s="17"/>
      <c r="AL58" s="17">
        <v>0</v>
      </c>
      <c r="AM58" s="17"/>
      <c r="AN58" s="17">
        <v>205</v>
      </c>
      <c r="AO58" s="17"/>
      <c r="AP58" s="17">
        <v>0</v>
      </c>
      <c r="AQ58" s="17"/>
      <c r="AR58" s="17">
        <v>0</v>
      </c>
      <c r="AS58" s="17"/>
      <c r="AT58" s="17">
        <v>0</v>
      </c>
      <c r="AU58" s="17"/>
      <c r="AV58" s="23">
        <f t="shared" si="3"/>
        <v>550205</v>
      </c>
      <c r="AW58" s="17"/>
      <c r="AX58" s="23">
        <f t="shared" si="4"/>
        <v>8873600</v>
      </c>
    </row>
    <row r="59" spans="1:50" s="16" customFormat="1" ht="12">
      <c r="A59" s="3" t="s">
        <v>253</v>
      </c>
      <c r="B59" s="3"/>
      <c r="C59" s="3" t="s">
        <v>197</v>
      </c>
      <c r="D59" s="3"/>
      <c r="E59" s="3">
        <v>62125</v>
      </c>
      <c r="F59" s="3"/>
      <c r="G59" s="17">
        <v>6301711</v>
      </c>
      <c r="H59" s="17"/>
      <c r="I59" s="17">
        <v>0</v>
      </c>
      <c r="J59" s="17"/>
      <c r="K59" s="17">
        <v>14487121</v>
      </c>
      <c r="L59" s="17"/>
      <c r="M59" s="17">
        <v>-11045</v>
      </c>
      <c r="N59" s="17"/>
      <c r="O59" s="17">
        <v>1671897</v>
      </c>
      <c r="P59" s="17"/>
      <c r="Q59" s="17">
        <v>0</v>
      </c>
      <c r="R59" s="17"/>
      <c r="S59" s="17">
        <v>0</v>
      </c>
      <c r="T59" s="17"/>
      <c r="U59" s="17">
        <v>38703</v>
      </c>
      <c r="V59" s="17"/>
      <c r="W59" s="17">
        <f>336240+1733+25414</f>
        <v>363387</v>
      </c>
      <c r="X59" s="17"/>
      <c r="Y59" s="23">
        <f t="shared" si="2"/>
        <v>22851774</v>
      </c>
      <c r="Z59" s="17"/>
      <c r="AA59" s="17">
        <v>1089580</v>
      </c>
      <c r="AB59" s="17"/>
      <c r="AC59" s="17">
        <f>7285000+99718</f>
        <v>7384718</v>
      </c>
      <c r="AD59" s="17"/>
      <c r="AE59" s="17">
        <v>0</v>
      </c>
      <c r="AF59" s="17"/>
      <c r="AG59" s="17">
        <v>0</v>
      </c>
      <c r="AH59" s="3" t="s">
        <v>253</v>
      </c>
      <c r="AJ59" s="16" t="s">
        <v>197</v>
      </c>
      <c r="AK59" s="17"/>
      <c r="AL59" s="17">
        <v>0</v>
      </c>
      <c r="AM59" s="17"/>
      <c r="AN59" s="17">
        <v>0</v>
      </c>
      <c r="AO59" s="17"/>
      <c r="AP59" s="17">
        <v>0</v>
      </c>
      <c r="AQ59" s="17"/>
      <c r="AR59" s="17">
        <v>0</v>
      </c>
      <c r="AS59" s="17"/>
      <c r="AT59" s="17">
        <v>0</v>
      </c>
      <c r="AU59" s="17"/>
      <c r="AV59" s="23">
        <f t="shared" si="3"/>
        <v>8474298</v>
      </c>
      <c r="AW59" s="17"/>
      <c r="AX59" s="23">
        <f t="shared" si="4"/>
        <v>31326072</v>
      </c>
    </row>
    <row r="60" spans="1:50" s="16" customFormat="1" ht="12">
      <c r="A60" s="3" t="s">
        <v>305</v>
      </c>
      <c r="B60" s="3"/>
      <c r="C60" s="3" t="s">
        <v>216</v>
      </c>
      <c r="D60" s="3"/>
      <c r="E60" s="3">
        <v>51458</v>
      </c>
      <c r="F60" s="3"/>
      <c r="G60" s="17">
        <v>4514256</v>
      </c>
      <c r="H60" s="17"/>
      <c r="I60" s="17">
        <v>0</v>
      </c>
      <c r="J60" s="17"/>
      <c r="K60" s="17">
        <v>11260169</v>
      </c>
      <c r="L60" s="17"/>
      <c r="M60" s="17">
        <v>368122</v>
      </c>
      <c r="N60" s="17"/>
      <c r="O60" s="17">
        <v>556554</v>
      </c>
      <c r="P60" s="17"/>
      <c r="Q60" s="17">
        <v>0</v>
      </c>
      <c r="R60" s="17"/>
      <c r="S60" s="17">
        <v>0</v>
      </c>
      <c r="T60" s="17"/>
      <c r="U60" s="17">
        <v>2479</v>
      </c>
      <c r="V60" s="17"/>
      <c r="W60" s="17">
        <f>118840+222536+444572</f>
        <v>785948</v>
      </c>
      <c r="X60" s="17"/>
      <c r="Y60" s="23">
        <f t="shared" si="2"/>
        <v>17487528</v>
      </c>
      <c r="Z60" s="17"/>
      <c r="AA60" s="17">
        <v>4601470</v>
      </c>
      <c r="AB60" s="17"/>
      <c r="AC60" s="17">
        <v>5783812</v>
      </c>
      <c r="AD60" s="17"/>
      <c r="AE60" s="17">
        <v>0</v>
      </c>
      <c r="AF60" s="17"/>
      <c r="AG60" s="17">
        <v>0</v>
      </c>
      <c r="AH60" s="3" t="s">
        <v>305</v>
      </c>
      <c r="AJ60" s="16" t="s">
        <v>216</v>
      </c>
      <c r="AK60" s="17"/>
      <c r="AL60" s="17">
        <v>0</v>
      </c>
      <c r="AM60" s="17"/>
      <c r="AN60" s="17">
        <v>0</v>
      </c>
      <c r="AO60" s="17"/>
      <c r="AP60" s="17">
        <v>0</v>
      </c>
      <c r="AQ60" s="17"/>
      <c r="AR60" s="17">
        <v>0</v>
      </c>
      <c r="AS60" s="17"/>
      <c r="AT60" s="17">
        <v>0</v>
      </c>
      <c r="AU60" s="17"/>
      <c r="AV60" s="23">
        <f t="shared" si="3"/>
        <v>10385282</v>
      </c>
      <c r="AW60" s="17"/>
      <c r="AX60" s="23">
        <f t="shared" si="4"/>
        <v>27872810</v>
      </c>
    </row>
    <row r="61" spans="1:50" s="16" customFormat="1" ht="12">
      <c r="A61" s="3" t="s">
        <v>306</v>
      </c>
      <c r="B61" s="3"/>
      <c r="C61" s="3" t="s">
        <v>229</v>
      </c>
      <c r="D61" s="3"/>
      <c r="E61" s="3">
        <v>51672</v>
      </c>
      <c r="F61" s="3"/>
      <c r="G61" s="17">
        <v>3496190</v>
      </c>
      <c r="H61" s="17"/>
      <c r="I61" s="17">
        <v>0</v>
      </c>
      <c r="J61" s="17"/>
      <c r="K61" s="17">
        <f>28111+5638866+566731</f>
        <v>6233708</v>
      </c>
      <c r="L61" s="17"/>
      <c r="M61" s="17">
        <v>170088</v>
      </c>
      <c r="N61" s="17"/>
      <c r="O61" s="17">
        <v>1373957</v>
      </c>
      <c r="P61" s="17"/>
      <c r="Q61" s="17">
        <v>2135</v>
      </c>
      <c r="R61" s="17"/>
      <c r="S61" s="17">
        <v>0</v>
      </c>
      <c r="T61" s="17"/>
      <c r="U61" s="17">
        <v>0</v>
      </c>
      <c r="V61" s="17"/>
      <c r="W61" s="17">
        <f>28737+52359-2277</f>
        <v>78819</v>
      </c>
      <c r="X61" s="17"/>
      <c r="Y61" s="23">
        <f t="shared" si="2"/>
        <v>11354897</v>
      </c>
      <c r="Z61" s="17"/>
      <c r="AA61" s="17">
        <v>710040</v>
      </c>
      <c r="AB61" s="17"/>
      <c r="AC61" s="17">
        <f>51994+12409000</f>
        <v>12460994</v>
      </c>
      <c r="AD61" s="17"/>
      <c r="AE61" s="17">
        <v>0</v>
      </c>
      <c r="AF61" s="17"/>
      <c r="AG61" s="17">
        <v>0</v>
      </c>
      <c r="AH61" s="3" t="s">
        <v>306</v>
      </c>
      <c r="AJ61" s="16" t="s">
        <v>229</v>
      </c>
      <c r="AK61" s="17"/>
      <c r="AL61" s="17">
        <v>40104</v>
      </c>
      <c r="AM61" s="17"/>
      <c r="AN61" s="17">
        <v>0</v>
      </c>
      <c r="AO61" s="17"/>
      <c r="AP61" s="17">
        <v>0</v>
      </c>
      <c r="AQ61" s="17"/>
      <c r="AR61" s="17">
        <v>0</v>
      </c>
      <c r="AS61" s="17"/>
      <c r="AT61" s="3">
        <v>0</v>
      </c>
      <c r="AU61" s="17"/>
      <c r="AV61" s="23">
        <f t="shared" si="3"/>
        <v>13211138</v>
      </c>
      <c r="AW61" s="17"/>
      <c r="AX61" s="23">
        <f t="shared" si="4"/>
        <v>24566035</v>
      </c>
    </row>
    <row r="62" spans="1:50" s="16" customFormat="1" ht="12">
      <c r="A62" s="3" t="s">
        <v>257</v>
      </c>
      <c r="B62" s="3"/>
      <c r="C62" s="3" t="s">
        <v>231</v>
      </c>
      <c r="D62" s="3"/>
      <c r="E62" s="3">
        <v>51474</v>
      </c>
      <c r="F62" s="3"/>
      <c r="G62" s="17">
        <v>7070950</v>
      </c>
      <c r="H62" s="17"/>
      <c r="I62" s="17">
        <v>0</v>
      </c>
      <c r="J62" s="17"/>
      <c r="K62" s="17">
        <v>7346683</v>
      </c>
      <c r="L62" s="17"/>
      <c r="M62" s="17">
        <v>185188</v>
      </c>
      <c r="N62" s="17"/>
      <c r="O62" s="17">
        <v>3202261</v>
      </c>
      <c r="P62" s="17"/>
      <c r="Q62" s="17">
        <v>0</v>
      </c>
      <c r="R62" s="17"/>
      <c r="S62" s="17">
        <v>361027</v>
      </c>
      <c r="T62" s="17"/>
      <c r="U62" s="17">
        <v>18037</v>
      </c>
      <c r="V62" s="17"/>
      <c r="W62" s="17">
        <f>8558+43091+163670</f>
        <v>215319</v>
      </c>
      <c r="X62" s="17"/>
      <c r="Y62" s="23">
        <f t="shared" si="2"/>
        <v>18399465</v>
      </c>
      <c r="Z62" s="17"/>
      <c r="AA62" s="3">
        <v>1103571</v>
      </c>
      <c r="AB62" s="17"/>
      <c r="AC62" s="17">
        <v>0</v>
      </c>
      <c r="AD62" s="17"/>
      <c r="AE62" s="17">
        <v>0</v>
      </c>
      <c r="AF62" s="17"/>
      <c r="AG62" s="17">
        <v>0</v>
      </c>
      <c r="AH62" s="3" t="s">
        <v>257</v>
      </c>
      <c r="AJ62" s="16" t="s">
        <v>231</v>
      </c>
      <c r="AK62" s="17"/>
      <c r="AL62" s="17">
        <v>0</v>
      </c>
      <c r="AM62" s="17"/>
      <c r="AN62" s="17">
        <v>7193</v>
      </c>
      <c r="AO62" s="17"/>
      <c r="AP62" s="17">
        <v>0</v>
      </c>
      <c r="AQ62" s="17"/>
      <c r="AR62" s="17">
        <v>0</v>
      </c>
      <c r="AS62" s="17"/>
      <c r="AT62" s="17">
        <v>0</v>
      </c>
      <c r="AU62" s="17"/>
      <c r="AV62" s="23">
        <f t="shared" si="3"/>
        <v>1110764</v>
      </c>
      <c r="AW62" s="17"/>
      <c r="AX62" s="23">
        <f t="shared" si="4"/>
        <v>19510229</v>
      </c>
    </row>
    <row r="63" spans="1:50" s="16" customFormat="1" ht="12">
      <c r="A63" s="3" t="s">
        <v>325</v>
      </c>
      <c r="B63" s="3"/>
      <c r="C63" s="3" t="s">
        <v>232</v>
      </c>
      <c r="D63" s="3"/>
      <c r="E63" s="3">
        <v>51698</v>
      </c>
      <c r="F63" s="3"/>
      <c r="G63" s="17">
        <v>1826649</v>
      </c>
      <c r="H63" s="17"/>
      <c r="I63" s="17">
        <v>0</v>
      </c>
      <c r="J63" s="17"/>
      <c r="K63" s="17">
        <v>4684358</v>
      </c>
      <c r="L63" s="17"/>
      <c r="M63" s="17">
        <v>94274</v>
      </c>
      <c r="N63" s="17"/>
      <c r="O63" s="17">
        <v>19072</v>
      </c>
      <c r="P63" s="17"/>
      <c r="Q63" s="17">
        <v>0</v>
      </c>
      <c r="R63" s="17"/>
      <c r="S63" s="17">
        <v>33735</v>
      </c>
      <c r="T63" s="17"/>
      <c r="U63" s="17">
        <v>0</v>
      </c>
      <c r="V63" s="17"/>
      <c r="W63" s="17">
        <f>123671+21126</f>
        <v>144797</v>
      </c>
      <c r="X63" s="17"/>
      <c r="Y63" s="23">
        <f t="shared" si="2"/>
        <v>6802885</v>
      </c>
      <c r="Z63" s="17"/>
      <c r="AA63" s="17">
        <v>9444</v>
      </c>
      <c r="AB63" s="17"/>
      <c r="AC63" s="17">
        <v>0</v>
      </c>
      <c r="AD63" s="17"/>
      <c r="AE63" s="17">
        <v>0</v>
      </c>
      <c r="AF63" s="17"/>
      <c r="AG63" s="17">
        <v>0</v>
      </c>
      <c r="AH63" s="3" t="s">
        <v>325</v>
      </c>
      <c r="AJ63" s="16" t="s">
        <v>232</v>
      </c>
      <c r="AK63" s="17"/>
      <c r="AL63" s="17">
        <v>0</v>
      </c>
      <c r="AM63" s="17"/>
      <c r="AN63" s="17">
        <v>5311</v>
      </c>
      <c r="AO63" s="17"/>
      <c r="AP63" s="17">
        <v>0</v>
      </c>
      <c r="AQ63" s="17"/>
      <c r="AR63" s="17">
        <v>0</v>
      </c>
      <c r="AS63" s="17"/>
      <c r="AT63" s="17">
        <v>0</v>
      </c>
      <c r="AU63" s="17"/>
      <c r="AV63" s="23">
        <f t="shared" si="3"/>
        <v>14755</v>
      </c>
      <c r="AW63" s="17"/>
      <c r="AX63" s="23">
        <f t="shared" si="4"/>
        <v>6817640</v>
      </c>
    </row>
    <row r="64" spans="1:50" s="16" customFormat="1" ht="12">
      <c r="A64" s="3" t="s">
        <v>307</v>
      </c>
      <c r="B64" s="3"/>
      <c r="C64" s="3" t="s">
        <v>234</v>
      </c>
      <c r="D64" s="3"/>
      <c r="E64" s="3">
        <v>51714</v>
      </c>
      <c r="F64" s="3"/>
      <c r="G64" s="17">
        <v>5451886</v>
      </c>
      <c r="H64" s="17"/>
      <c r="I64" s="17">
        <v>0</v>
      </c>
      <c r="J64" s="17"/>
      <c r="K64" s="17">
        <v>20512096</v>
      </c>
      <c r="L64" s="17"/>
      <c r="M64" s="17">
        <v>59206</v>
      </c>
      <c r="N64" s="17"/>
      <c r="O64" s="17">
        <v>1513808</v>
      </c>
      <c r="P64" s="17"/>
      <c r="Q64" s="17">
        <v>0</v>
      </c>
      <c r="R64" s="17"/>
      <c r="S64" s="17">
        <v>0</v>
      </c>
      <c r="T64" s="17"/>
      <c r="U64" s="17">
        <v>114452</v>
      </c>
      <c r="V64" s="17"/>
      <c r="W64" s="17">
        <f>273499+917</f>
        <v>274416</v>
      </c>
      <c r="X64" s="17"/>
      <c r="Y64" s="23">
        <f t="shared" si="2"/>
        <v>27925864</v>
      </c>
      <c r="Z64" s="17"/>
      <c r="AA64" s="17">
        <v>399223</v>
      </c>
      <c r="AB64" s="17"/>
      <c r="AC64" s="17">
        <v>0</v>
      </c>
      <c r="AD64" s="17"/>
      <c r="AE64" s="17">
        <v>0</v>
      </c>
      <c r="AF64" s="17"/>
      <c r="AG64" s="17">
        <v>0</v>
      </c>
      <c r="AH64" s="3" t="s">
        <v>307</v>
      </c>
      <c r="AJ64" s="16" t="s">
        <v>234</v>
      </c>
      <c r="AK64" s="17"/>
      <c r="AL64" s="17">
        <v>0</v>
      </c>
      <c r="AM64" s="17"/>
      <c r="AN64" s="17">
        <v>0</v>
      </c>
      <c r="AO64" s="17"/>
      <c r="AP64" s="17">
        <v>0</v>
      </c>
      <c r="AQ64" s="17"/>
      <c r="AR64" s="17">
        <v>0</v>
      </c>
      <c r="AS64" s="17"/>
      <c r="AT64" s="17">
        <v>0</v>
      </c>
      <c r="AU64" s="17"/>
      <c r="AV64" s="23">
        <f>SUM(AA64:AT64)</f>
        <v>399223</v>
      </c>
      <c r="AW64" s="17"/>
      <c r="AX64" s="23">
        <f t="shared" si="4"/>
        <v>28325087</v>
      </c>
    </row>
    <row r="65" spans="1:50" s="16" customFormat="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C65" s="3"/>
      <c r="AD65" s="3"/>
      <c r="AE65" s="3"/>
      <c r="AF65" s="3"/>
      <c r="AG65" s="3"/>
      <c r="AH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23"/>
      <c r="AW65" s="3"/>
      <c r="AX65" s="3"/>
    </row>
    <row r="66" spans="1:50" s="16" customFormat="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C66" s="3"/>
      <c r="AD66" s="3"/>
      <c r="AE66" s="17" t="s">
        <v>310</v>
      </c>
      <c r="AF66" s="3"/>
      <c r="AG66" s="3"/>
      <c r="AH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3"/>
      <c r="AW66" s="3"/>
      <c r="AX66" s="17" t="s">
        <v>310</v>
      </c>
    </row>
    <row r="67" spans="1:50" s="16" customFormat="1" ht="12">
      <c r="A67" s="13" t="s">
        <v>309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C67" s="3"/>
      <c r="AD67" s="3"/>
      <c r="AE67" s="3"/>
      <c r="AF67" s="3"/>
      <c r="AG67" s="3"/>
      <c r="AH67" s="44" t="s">
        <v>309</v>
      </c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3"/>
      <c r="AW67" s="3"/>
      <c r="AX67" s="3"/>
    </row>
    <row r="68" spans="1:50" s="16" customFormat="1" ht="1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C68" s="3"/>
      <c r="AD68" s="3"/>
      <c r="AE68" s="3"/>
      <c r="AF68" s="3"/>
      <c r="AG68" s="3"/>
      <c r="AH68" s="44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23"/>
      <c r="AW68" s="3"/>
      <c r="AX68" s="3"/>
    </row>
    <row r="69" spans="1:50" s="34" customFormat="1" ht="12" hidden="1">
      <c r="A69" s="3" t="s">
        <v>345</v>
      </c>
      <c r="B69" s="3"/>
      <c r="C69" s="3" t="s">
        <v>321</v>
      </c>
      <c r="D69" s="3"/>
      <c r="E69" s="3">
        <v>45849</v>
      </c>
      <c r="F69" s="3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23"/>
      <c r="Z69" s="17"/>
      <c r="AA69" s="17"/>
      <c r="AB69" s="62"/>
      <c r="AC69" s="17"/>
      <c r="AD69" s="17"/>
      <c r="AE69" s="17"/>
      <c r="AF69" s="17"/>
      <c r="AG69" s="17">
        <v>0</v>
      </c>
      <c r="AH69" s="3" t="s">
        <v>345</v>
      </c>
      <c r="AI69" s="3"/>
      <c r="AJ69" s="3" t="s">
        <v>321</v>
      </c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23">
        <f>SUM(AA69:AT69)</f>
        <v>0</v>
      </c>
      <c r="AW69" s="17"/>
      <c r="AX69" s="23">
        <f t="shared" ref="AX69:AX100" si="5">+AV69+Y69</f>
        <v>0</v>
      </c>
    </row>
    <row r="70" spans="1:50" s="16" customFormat="1" ht="12" hidden="1">
      <c r="A70" s="3" t="s">
        <v>346</v>
      </c>
      <c r="B70" s="3"/>
      <c r="C70" s="3" t="s">
        <v>152</v>
      </c>
      <c r="D70" s="3"/>
      <c r="E70" s="3"/>
      <c r="F70" s="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23"/>
      <c r="Z70" s="17"/>
      <c r="AA70" s="17"/>
      <c r="AB70" s="17"/>
      <c r="AC70" s="17"/>
      <c r="AD70" s="17"/>
      <c r="AE70" s="17"/>
      <c r="AF70" s="17"/>
      <c r="AG70" s="17">
        <v>0</v>
      </c>
      <c r="AH70" s="3" t="s">
        <v>346</v>
      </c>
      <c r="AI70" s="3"/>
      <c r="AJ70" s="3" t="s">
        <v>152</v>
      </c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23">
        <f>SUM(AA70:AT70)</f>
        <v>0</v>
      </c>
      <c r="AW70" s="17"/>
      <c r="AX70" s="23">
        <f t="shared" si="5"/>
        <v>0</v>
      </c>
    </row>
    <row r="71" spans="1:50" s="16" customFormat="1" ht="12">
      <c r="A71" s="3" t="s">
        <v>156</v>
      </c>
      <c r="B71" s="3"/>
      <c r="C71" s="3" t="s">
        <v>153</v>
      </c>
      <c r="D71" s="3"/>
      <c r="E71" s="3">
        <v>135145</v>
      </c>
      <c r="F71" s="3"/>
      <c r="G71" s="62">
        <v>0</v>
      </c>
      <c r="H71" s="62"/>
      <c r="I71" s="62"/>
      <c r="J71" s="62"/>
      <c r="K71" s="62">
        <v>4399604</v>
      </c>
      <c r="L71" s="62"/>
      <c r="M71" s="62">
        <v>16482</v>
      </c>
      <c r="N71" s="62"/>
      <c r="O71" s="62">
        <v>1561621</v>
      </c>
      <c r="P71" s="62"/>
      <c r="Q71" s="62">
        <v>0</v>
      </c>
      <c r="R71" s="62"/>
      <c r="S71" s="62">
        <v>0</v>
      </c>
      <c r="T71" s="62"/>
      <c r="U71" s="62">
        <v>6013</v>
      </c>
      <c r="V71" s="62"/>
      <c r="W71" s="62">
        <f>1370755+964141+89604</f>
        <v>2424500</v>
      </c>
      <c r="X71" s="62"/>
      <c r="Y71" s="64">
        <f>SUM(G71:X71)</f>
        <v>8408220</v>
      </c>
      <c r="Z71" s="62"/>
      <c r="AA71" s="62">
        <v>0</v>
      </c>
      <c r="AB71" s="17"/>
      <c r="AC71" s="62">
        <v>0</v>
      </c>
      <c r="AD71" s="62"/>
      <c r="AE71" s="62">
        <v>0</v>
      </c>
      <c r="AF71" s="62"/>
      <c r="AG71" s="62">
        <v>0</v>
      </c>
      <c r="AH71" s="3" t="s">
        <v>156</v>
      </c>
      <c r="AI71" s="3"/>
      <c r="AJ71" s="3" t="s">
        <v>153</v>
      </c>
      <c r="AK71" s="62"/>
      <c r="AL71" s="62">
        <v>0</v>
      </c>
      <c r="AM71" s="62"/>
      <c r="AN71" s="62">
        <v>0</v>
      </c>
      <c r="AO71" s="62"/>
      <c r="AP71" s="62">
        <v>0</v>
      </c>
      <c r="AQ71" s="62"/>
      <c r="AR71" s="62">
        <v>0</v>
      </c>
      <c r="AS71" s="62"/>
      <c r="AT71" s="62">
        <v>0</v>
      </c>
      <c r="AU71" s="62"/>
      <c r="AV71" s="64">
        <f>SUM(AA71:AT71)</f>
        <v>0</v>
      </c>
      <c r="AW71" s="62"/>
      <c r="AX71" s="64">
        <f t="shared" si="5"/>
        <v>8408220</v>
      </c>
    </row>
    <row r="72" spans="1:50" s="16" customFormat="1" ht="12" hidden="1">
      <c r="A72" s="3" t="s">
        <v>362</v>
      </c>
      <c r="B72" s="3"/>
      <c r="C72" s="3" t="s">
        <v>322</v>
      </c>
      <c r="D72" s="3"/>
      <c r="E72" s="3"/>
      <c r="F72" s="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23">
        <f>SUM(G72:X72)</f>
        <v>0</v>
      </c>
      <c r="Z72" s="17"/>
      <c r="AA72" s="17"/>
      <c r="AB72" s="17"/>
      <c r="AC72" s="17"/>
      <c r="AD72" s="17"/>
      <c r="AE72" s="17"/>
      <c r="AF72" s="17"/>
      <c r="AG72" s="17"/>
      <c r="AH72" s="3" t="s">
        <v>362</v>
      </c>
      <c r="AI72" s="3"/>
      <c r="AJ72" s="3" t="s">
        <v>322</v>
      </c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23">
        <f>SUM(AA72:AT72)</f>
        <v>0</v>
      </c>
      <c r="AW72" s="17"/>
      <c r="AX72" s="23">
        <f t="shared" si="5"/>
        <v>0</v>
      </c>
    </row>
    <row r="73" spans="1:50" s="16" customFormat="1" ht="12">
      <c r="A73" s="3" t="s">
        <v>365</v>
      </c>
      <c r="B73" s="3"/>
      <c r="C73" s="3" t="s">
        <v>158</v>
      </c>
      <c r="D73" s="3"/>
      <c r="E73" s="3">
        <v>46029</v>
      </c>
      <c r="F73" s="3"/>
      <c r="G73" s="17">
        <v>0</v>
      </c>
      <c r="H73" s="17"/>
      <c r="I73" s="17"/>
      <c r="J73" s="17"/>
      <c r="K73" s="17">
        <v>1008907</v>
      </c>
      <c r="L73" s="17"/>
      <c r="M73" s="17">
        <v>42215</v>
      </c>
      <c r="N73" s="17"/>
      <c r="O73" s="17">
        <v>91918</v>
      </c>
      <c r="P73" s="17"/>
      <c r="Q73" s="17">
        <v>0</v>
      </c>
      <c r="R73" s="17"/>
      <c r="S73" s="17">
        <v>0</v>
      </c>
      <c r="T73" s="17"/>
      <c r="U73" s="17">
        <v>0</v>
      </c>
      <c r="V73" s="17"/>
      <c r="W73" s="17">
        <v>3651710</v>
      </c>
      <c r="X73" s="17"/>
      <c r="Y73" s="23">
        <f>SUM(G73:X73)</f>
        <v>4794750</v>
      </c>
      <c r="Z73" s="17"/>
      <c r="AA73" s="17">
        <v>0</v>
      </c>
      <c r="AB73" s="17"/>
      <c r="AC73" s="17">
        <v>0</v>
      </c>
      <c r="AD73" s="17"/>
      <c r="AE73" s="17">
        <v>0</v>
      </c>
      <c r="AF73" s="17"/>
      <c r="AG73" s="17">
        <v>0</v>
      </c>
      <c r="AH73" s="16" t="s">
        <v>365</v>
      </c>
      <c r="AJ73" s="16" t="s">
        <v>158</v>
      </c>
      <c r="AK73" s="17"/>
      <c r="AL73" s="17">
        <v>0</v>
      </c>
      <c r="AM73" s="17"/>
      <c r="AN73" s="17">
        <v>0</v>
      </c>
      <c r="AO73" s="17"/>
      <c r="AP73" s="17">
        <v>0</v>
      </c>
      <c r="AQ73" s="17"/>
      <c r="AR73" s="17">
        <v>0</v>
      </c>
      <c r="AS73" s="17"/>
      <c r="AT73" s="17">
        <v>0</v>
      </c>
      <c r="AU73" s="17"/>
      <c r="AV73" s="23">
        <f>SUM(AA73:AT73)</f>
        <v>0</v>
      </c>
      <c r="AW73" s="17"/>
      <c r="AX73" s="23">
        <f t="shared" si="5"/>
        <v>4794750</v>
      </c>
    </row>
    <row r="74" spans="1:50" s="16" customFormat="1" ht="12">
      <c r="A74" s="3" t="s">
        <v>364</v>
      </c>
      <c r="B74" s="3"/>
      <c r="C74" s="3" t="s">
        <v>155</v>
      </c>
      <c r="D74" s="3"/>
      <c r="E74" s="3">
        <v>46086</v>
      </c>
      <c r="F74" s="3"/>
      <c r="G74" s="17">
        <v>0</v>
      </c>
      <c r="H74" s="17"/>
      <c r="I74" s="17"/>
      <c r="J74" s="17"/>
      <c r="K74" s="17">
        <v>8035380</v>
      </c>
      <c r="L74" s="17"/>
      <c r="M74" s="17">
        <v>1985</v>
      </c>
      <c r="N74" s="17"/>
      <c r="O74" s="17">
        <v>73171</v>
      </c>
      <c r="P74" s="17"/>
      <c r="Q74" s="17">
        <v>0</v>
      </c>
      <c r="R74" s="17"/>
      <c r="S74" s="17">
        <v>0</v>
      </c>
      <c r="T74" s="17"/>
      <c r="U74" s="17">
        <v>0</v>
      </c>
      <c r="V74" s="17"/>
      <c r="W74" s="17">
        <f>4748736+801980</f>
        <v>5550716</v>
      </c>
      <c r="X74" s="17"/>
      <c r="Y74" s="23">
        <f t="shared" ref="Y74:Y130" si="6">SUM(G74:X74)</f>
        <v>13661252</v>
      </c>
      <c r="Z74" s="17"/>
      <c r="AA74" s="17">
        <v>0</v>
      </c>
      <c r="AB74" s="17"/>
      <c r="AC74" s="17">
        <v>0</v>
      </c>
      <c r="AD74" s="17"/>
      <c r="AE74" s="17">
        <v>0</v>
      </c>
      <c r="AF74" s="17"/>
      <c r="AG74" s="17">
        <v>0</v>
      </c>
      <c r="AH74" s="16" t="s">
        <v>364</v>
      </c>
      <c r="AJ74" s="16" t="s">
        <v>155</v>
      </c>
      <c r="AK74" s="17"/>
      <c r="AL74" s="17">
        <v>2937000</v>
      </c>
      <c r="AM74" s="17"/>
      <c r="AN74" s="17">
        <v>0</v>
      </c>
      <c r="AO74" s="17"/>
      <c r="AP74" s="17">
        <v>0</v>
      </c>
      <c r="AQ74" s="17"/>
      <c r="AR74" s="17">
        <v>0</v>
      </c>
      <c r="AS74" s="17"/>
      <c r="AT74" s="17">
        <v>0</v>
      </c>
      <c r="AU74" s="17"/>
      <c r="AV74" s="23">
        <f t="shared" ref="AV74:AV130" si="7">SUM(AA74:AT74)</f>
        <v>2937000</v>
      </c>
      <c r="AW74" s="17"/>
      <c r="AX74" s="23">
        <f t="shared" si="5"/>
        <v>16598252</v>
      </c>
    </row>
    <row r="75" spans="1:50" s="16" customFormat="1" ht="12">
      <c r="A75" s="3" t="s">
        <v>366</v>
      </c>
      <c r="B75" s="3"/>
      <c r="C75" s="3" t="s">
        <v>161</v>
      </c>
      <c r="D75" s="3"/>
      <c r="E75" s="3">
        <v>46227</v>
      </c>
      <c r="F75" s="3"/>
      <c r="G75" s="17">
        <v>0</v>
      </c>
      <c r="H75" s="17"/>
      <c r="I75" s="17"/>
      <c r="J75" s="17"/>
      <c r="K75" s="17">
        <v>1898626</v>
      </c>
      <c r="L75" s="17"/>
      <c r="M75" s="17">
        <v>11289</v>
      </c>
      <c r="N75" s="17"/>
      <c r="O75" s="17">
        <v>3469280</v>
      </c>
      <c r="P75" s="17"/>
      <c r="Q75" s="17">
        <v>0</v>
      </c>
      <c r="R75" s="17"/>
      <c r="S75" s="17">
        <v>0</v>
      </c>
      <c r="T75" s="17"/>
      <c r="U75" s="17">
        <v>0</v>
      </c>
      <c r="V75" s="17"/>
      <c r="W75" s="17">
        <f>1146986+195157</f>
        <v>1342143</v>
      </c>
      <c r="X75" s="17"/>
      <c r="Y75" s="23">
        <f t="shared" si="6"/>
        <v>6721338</v>
      </c>
      <c r="Z75" s="17"/>
      <c r="AA75" s="17">
        <v>32862</v>
      </c>
      <c r="AB75" s="17"/>
      <c r="AC75" s="17">
        <v>0</v>
      </c>
      <c r="AD75" s="17"/>
      <c r="AE75" s="17">
        <v>0</v>
      </c>
      <c r="AF75" s="17"/>
      <c r="AG75" s="17">
        <v>0</v>
      </c>
      <c r="AH75" s="16" t="s">
        <v>366</v>
      </c>
      <c r="AJ75" s="16" t="s">
        <v>161</v>
      </c>
      <c r="AK75" s="17"/>
      <c r="AL75" s="17">
        <v>0</v>
      </c>
      <c r="AM75" s="17"/>
      <c r="AN75" s="17">
        <v>0</v>
      </c>
      <c r="AO75" s="17"/>
      <c r="AP75" s="17">
        <v>0</v>
      </c>
      <c r="AQ75" s="17"/>
      <c r="AR75" s="17">
        <v>0</v>
      </c>
      <c r="AS75" s="17"/>
      <c r="AT75" s="17">
        <v>0</v>
      </c>
      <c r="AU75" s="17"/>
      <c r="AV75" s="23">
        <f t="shared" si="7"/>
        <v>32862</v>
      </c>
      <c r="AW75" s="17"/>
      <c r="AX75" s="23">
        <f t="shared" si="5"/>
        <v>6754200</v>
      </c>
    </row>
    <row r="76" spans="1:50" s="16" customFormat="1" ht="12">
      <c r="A76" s="3" t="s">
        <v>162</v>
      </c>
      <c r="B76" s="3"/>
      <c r="C76" s="3" t="s">
        <v>163</v>
      </c>
      <c r="D76" s="3"/>
      <c r="E76" s="3">
        <v>46292</v>
      </c>
      <c r="F76" s="3"/>
      <c r="G76" s="17">
        <v>0</v>
      </c>
      <c r="H76" s="17"/>
      <c r="I76" s="17"/>
      <c r="J76" s="17"/>
      <c r="K76" s="17">
        <v>2231008</v>
      </c>
      <c r="L76" s="17"/>
      <c r="M76" s="17">
        <v>8482</v>
      </c>
      <c r="N76" s="17"/>
      <c r="O76" s="17">
        <v>16194562</v>
      </c>
      <c r="P76" s="17"/>
      <c r="Q76" s="17">
        <v>0</v>
      </c>
      <c r="R76" s="17"/>
      <c r="S76" s="17">
        <v>0</v>
      </c>
      <c r="T76" s="17"/>
      <c r="U76" s="17">
        <v>92625</v>
      </c>
      <c r="V76" s="17"/>
      <c r="W76" s="17">
        <f>500037+287892+8995</f>
        <v>796924</v>
      </c>
      <c r="X76" s="17"/>
      <c r="Y76" s="23">
        <f t="shared" si="6"/>
        <v>19323601</v>
      </c>
      <c r="Z76" s="17"/>
      <c r="AA76" s="17">
        <v>15000</v>
      </c>
      <c r="AB76" s="17"/>
      <c r="AC76" s="17">
        <v>0</v>
      </c>
      <c r="AD76" s="17"/>
      <c r="AE76" s="17">
        <v>0</v>
      </c>
      <c r="AF76" s="17"/>
      <c r="AG76" s="17">
        <v>0</v>
      </c>
      <c r="AH76" s="16" t="s">
        <v>162</v>
      </c>
      <c r="AJ76" s="16" t="s">
        <v>163</v>
      </c>
      <c r="AK76" s="17"/>
      <c r="AL76" s="17">
        <v>0</v>
      </c>
      <c r="AM76" s="17"/>
      <c r="AN76" s="17">
        <v>0</v>
      </c>
      <c r="AO76" s="17"/>
      <c r="AP76" s="17">
        <v>0</v>
      </c>
      <c r="AQ76" s="17"/>
      <c r="AR76" s="17">
        <v>0</v>
      </c>
      <c r="AS76" s="17"/>
      <c r="AT76" s="17">
        <v>0</v>
      </c>
      <c r="AU76" s="17"/>
      <c r="AV76" s="23">
        <f t="shared" si="7"/>
        <v>15000</v>
      </c>
      <c r="AW76" s="17"/>
      <c r="AX76" s="23">
        <f t="shared" si="5"/>
        <v>19338601</v>
      </c>
    </row>
    <row r="77" spans="1:50" s="16" customFormat="1" ht="12" hidden="1">
      <c r="A77" s="3" t="s">
        <v>343</v>
      </c>
      <c r="B77" s="3"/>
      <c r="C77" s="3" t="s">
        <v>164</v>
      </c>
      <c r="D77" s="3"/>
      <c r="E77" s="3">
        <v>46375</v>
      </c>
      <c r="F77" s="3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23">
        <f t="shared" si="6"/>
        <v>0</v>
      </c>
      <c r="Z77" s="17"/>
      <c r="AA77" s="17"/>
      <c r="AB77" s="17"/>
      <c r="AC77" s="17"/>
      <c r="AD77" s="17"/>
      <c r="AE77" s="17"/>
      <c r="AF77" s="17"/>
      <c r="AG77" s="17"/>
      <c r="AH77" s="16" t="s">
        <v>343</v>
      </c>
      <c r="AJ77" s="16" t="s">
        <v>164</v>
      </c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23">
        <f t="shared" si="7"/>
        <v>0</v>
      </c>
      <c r="AW77" s="17"/>
      <c r="AX77" s="23">
        <f t="shared" si="5"/>
        <v>0</v>
      </c>
    </row>
    <row r="78" spans="1:50" s="16" customFormat="1" ht="12">
      <c r="A78" s="3" t="s">
        <v>367</v>
      </c>
      <c r="B78" s="3"/>
      <c r="C78" s="3" t="s">
        <v>165</v>
      </c>
      <c r="D78" s="3"/>
      <c r="E78" s="3">
        <v>46417</v>
      </c>
      <c r="F78" s="3"/>
      <c r="G78" s="17">
        <v>0</v>
      </c>
      <c r="H78" s="17"/>
      <c r="I78" s="17"/>
      <c r="J78" s="17"/>
      <c r="K78" s="17">
        <f>1321516+1164329</f>
        <v>2485845</v>
      </c>
      <c r="L78" s="17"/>
      <c r="M78" s="17">
        <v>748</v>
      </c>
      <c r="N78" s="17"/>
      <c r="O78" s="17">
        <v>5995124</v>
      </c>
      <c r="P78" s="17"/>
      <c r="Q78" s="17">
        <v>816</v>
      </c>
      <c r="R78" s="17"/>
      <c r="S78" s="17">
        <v>0</v>
      </c>
      <c r="T78" s="17"/>
      <c r="U78" s="17">
        <v>1826</v>
      </c>
      <c r="V78" s="17"/>
      <c r="W78" s="17">
        <f>4921+1300587</f>
        <v>1305508</v>
      </c>
      <c r="X78" s="17"/>
      <c r="Y78" s="23">
        <f t="shared" si="6"/>
        <v>9789867</v>
      </c>
      <c r="Z78" s="17"/>
      <c r="AA78" s="17">
        <v>13860</v>
      </c>
      <c r="AB78" s="17"/>
      <c r="AC78" s="17">
        <v>0</v>
      </c>
      <c r="AD78" s="17"/>
      <c r="AE78" s="17">
        <v>0</v>
      </c>
      <c r="AF78" s="17"/>
      <c r="AG78" s="17">
        <v>0</v>
      </c>
      <c r="AH78" s="16" t="s">
        <v>367</v>
      </c>
      <c r="AJ78" s="16" t="s">
        <v>165</v>
      </c>
      <c r="AK78" s="17"/>
      <c r="AL78" s="17">
        <v>77948</v>
      </c>
      <c r="AM78" s="17"/>
      <c r="AN78" s="17">
        <v>0</v>
      </c>
      <c r="AO78" s="17"/>
      <c r="AP78" s="17">
        <v>0</v>
      </c>
      <c r="AQ78" s="17"/>
      <c r="AR78" s="17">
        <v>0</v>
      </c>
      <c r="AS78" s="17"/>
      <c r="AT78" s="17">
        <v>0</v>
      </c>
      <c r="AU78" s="17"/>
      <c r="AV78" s="23">
        <f t="shared" si="7"/>
        <v>91808</v>
      </c>
      <c r="AW78" s="17"/>
      <c r="AX78" s="23">
        <f t="shared" si="5"/>
        <v>9881675</v>
      </c>
    </row>
    <row r="79" spans="1:50" s="16" customFormat="1" ht="12">
      <c r="A79" s="3" t="s">
        <v>166</v>
      </c>
      <c r="B79" s="3"/>
      <c r="C79" s="3" t="s">
        <v>167</v>
      </c>
      <c r="D79" s="3"/>
      <c r="E79" s="3">
        <v>46532</v>
      </c>
      <c r="F79" s="3"/>
      <c r="G79" s="17">
        <v>0</v>
      </c>
      <c r="H79" s="17"/>
      <c r="I79" s="17"/>
      <c r="J79" s="17"/>
      <c r="K79" s="17">
        <v>20560641</v>
      </c>
      <c r="L79" s="17"/>
      <c r="M79" s="17">
        <v>102054</v>
      </c>
      <c r="N79" s="17"/>
      <c r="O79" s="17">
        <v>37509489</v>
      </c>
      <c r="P79" s="17"/>
      <c r="Q79" s="17">
        <v>814</v>
      </c>
      <c r="R79" s="17"/>
      <c r="S79" s="17">
        <v>0</v>
      </c>
      <c r="T79" s="17"/>
      <c r="U79" s="17">
        <v>5726</v>
      </c>
      <c r="V79" s="17"/>
      <c r="W79" s="17">
        <f>446042+12275741+94698</f>
        <v>12816481</v>
      </c>
      <c r="X79" s="17"/>
      <c r="Y79" s="23">
        <f t="shared" si="6"/>
        <v>70995205</v>
      </c>
      <c r="Z79" s="17"/>
      <c r="AA79" s="17">
        <v>0</v>
      </c>
      <c r="AB79" s="17"/>
      <c r="AC79" s="17">
        <v>0</v>
      </c>
      <c r="AD79" s="17"/>
      <c r="AE79" s="17">
        <v>0</v>
      </c>
      <c r="AF79" s="17"/>
      <c r="AG79" s="17">
        <v>0</v>
      </c>
      <c r="AH79" s="16" t="s">
        <v>166</v>
      </c>
      <c r="AJ79" s="16" t="s">
        <v>167</v>
      </c>
      <c r="AK79" s="17"/>
      <c r="AL79" s="17">
        <v>0</v>
      </c>
      <c r="AM79" s="17"/>
      <c r="AN79" s="17">
        <v>15500</v>
      </c>
      <c r="AO79" s="17"/>
      <c r="AP79" s="17">
        <v>0</v>
      </c>
      <c r="AQ79" s="17"/>
      <c r="AR79" s="17">
        <v>0</v>
      </c>
      <c r="AS79" s="17"/>
      <c r="AT79" s="17">
        <v>0</v>
      </c>
      <c r="AU79" s="17"/>
      <c r="AV79" s="23">
        <f t="shared" si="7"/>
        <v>15500</v>
      </c>
      <c r="AW79" s="17"/>
      <c r="AX79" s="23">
        <f t="shared" si="5"/>
        <v>71010705</v>
      </c>
    </row>
    <row r="80" spans="1:50" s="16" customFormat="1" ht="12" hidden="1">
      <c r="A80" s="3" t="s">
        <v>339</v>
      </c>
      <c r="B80" s="3"/>
      <c r="C80" s="3" t="s">
        <v>169</v>
      </c>
      <c r="D80" s="3"/>
      <c r="E80" s="3">
        <v>46615</v>
      </c>
      <c r="F80" s="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23">
        <f t="shared" si="6"/>
        <v>0</v>
      </c>
      <c r="Z80" s="17"/>
      <c r="AA80" s="17"/>
      <c r="AB80" s="17"/>
      <c r="AC80" s="17"/>
      <c r="AD80" s="17"/>
      <c r="AE80" s="17"/>
      <c r="AF80" s="17"/>
      <c r="AG80" s="17"/>
      <c r="AH80" s="16" t="s">
        <v>339</v>
      </c>
      <c r="AJ80" s="16" t="s">
        <v>169</v>
      </c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23">
        <f t="shared" si="7"/>
        <v>0</v>
      </c>
      <c r="AW80" s="17"/>
      <c r="AX80" s="23">
        <f t="shared" si="5"/>
        <v>0</v>
      </c>
    </row>
    <row r="81" spans="1:50" s="16" customFormat="1" ht="12" hidden="1">
      <c r="A81" s="3" t="s">
        <v>363</v>
      </c>
      <c r="B81" s="3"/>
      <c r="C81" s="3" t="s">
        <v>171</v>
      </c>
      <c r="D81" s="3"/>
      <c r="E81" s="3">
        <v>46730</v>
      </c>
      <c r="F81" s="3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23">
        <f t="shared" si="6"/>
        <v>0</v>
      </c>
      <c r="Z81" s="17"/>
      <c r="AA81" s="17"/>
      <c r="AB81" s="17"/>
      <c r="AC81" s="17"/>
      <c r="AD81" s="17"/>
      <c r="AE81" s="17"/>
      <c r="AF81" s="17"/>
      <c r="AG81" s="17"/>
      <c r="AH81" s="3" t="s">
        <v>363</v>
      </c>
      <c r="AJ81" s="16" t="s">
        <v>171</v>
      </c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23">
        <f t="shared" si="7"/>
        <v>0</v>
      </c>
      <c r="AW81" s="17"/>
      <c r="AX81" s="23">
        <f t="shared" si="5"/>
        <v>0</v>
      </c>
    </row>
    <row r="82" spans="1:50" s="16" customFormat="1" ht="12">
      <c r="A82" s="3" t="s">
        <v>384</v>
      </c>
      <c r="B82" s="3"/>
      <c r="C82" s="3" t="s">
        <v>227</v>
      </c>
      <c r="D82" s="3"/>
      <c r="E82" s="3">
        <v>50260</v>
      </c>
      <c r="F82" s="3"/>
      <c r="G82" s="17">
        <v>0</v>
      </c>
      <c r="H82" s="17"/>
      <c r="I82" s="17">
        <v>0</v>
      </c>
      <c r="J82" s="17"/>
      <c r="K82" s="17">
        <f>1800439+592687</f>
        <v>2393126</v>
      </c>
      <c r="L82" s="17"/>
      <c r="M82" s="17">
        <v>6047</v>
      </c>
      <c r="N82" s="17"/>
      <c r="O82" s="17">
        <v>2321776</v>
      </c>
      <c r="P82" s="17"/>
      <c r="Q82" s="17">
        <v>0</v>
      </c>
      <c r="R82" s="17"/>
      <c r="S82" s="17">
        <v>0</v>
      </c>
      <c r="T82" s="17"/>
      <c r="U82" s="17">
        <v>29035</v>
      </c>
      <c r="V82" s="17"/>
      <c r="W82" s="17">
        <f>3746792+41017</f>
        <v>3787809</v>
      </c>
      <c r="X82" s="17"/>
      <c r="Y82" s="23">
        <f t="shared" ref="Y82" si="8">SUM(G82:X82)</f>
        <v>8537793</v>
      </c>
      <c r="Z82" s="17"/>
      <c r="AA82" s="17">
        <v>0</v>
      </c>
      <c r="AB82" s="17"/>
      <c r="AC82" s="17">
        <v>0</v>
      </c>
      <c r="AD82" s="17"/>
      <c r="AE82" s="17">
        <v>0</v>
      </c>
      <c r="AF82" s="17"/>
      <c r="AG82" s="17">
        <v>0</v>
      </c>
      <c r="AH82" s="3" t="s">
        <v>384</v>
      </c>
      <c r="AI82" s="3"/>
      <c r="AJ82" s="3" t="s">
        <v>227</v>
      </c>
      <c r="AK82" s="17"/>
      <c r="AL82" s="17">
        <v>0</v>
      </c>
      <c r="AM82" s="17"/>
      <c r="AN82" s="17">
        <v>0</v>
      </c>
      <c r="AO82" s="17"/>
      <c r="AP82" s="17">
        <v>0</v>
      </c>
      <c r="AQ82" s="17"/>
      <c r="AR82" s="17">
        <v>0</v>
      </c>
      <c r="AS82" s="17"/>
      <c r="AT82" s="17">
        <v>0</v>
      </c>
      <c r="AU82" s="17"/>
      <c r="AV82" s="23">
        <f t="shared" ref="AV82" si="9">SUM(AA82:AT82)</f>
        <v>0</v>
      </c>
      <c r="AW82" s="17"/>
      <c r="AX82" s="23">
        <f t="shared" si="5"/>
        <v>8537793</v>
      </c>
    </row>
    <row r="83" spans="1:50" s="16" customFormat="1" ht="12" hidden="1">
      <c r="A83" s="3" t="s">
        <v>344</v>
      </c>
      <c r="B83" s="3"/>
      <c r="C83" s="3" t="s">
        <v>172</v>
      </c>
      <c r="D83" s="3"/>
      <c r="E83" s="3">
        <v>125690</v>
      </c>
      <c r="F83" s="3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23">
        <f t="shared" si="6"/>
        <v>0</v>
      </c>
      <c r="Z83" s="17"/>
      <c r="AA83" s="17"/>
      <c r="AB83" s="17"/>
      <c r="AC83" s="17"/>
      <c r="AD83" s="17"/>
      <c r="AE83" s="17"/>
      <c r="AF83" s="17"/>
      <c r="AG83" s="17"/>
      <c r="AH83" s="16" t="s">
        <v>344</v>
      </c>
      <c r="AJ83" s="16" t="s">
        <v>172</v>
      </c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23">
        <f t="shared" si="7"/>
        <v>0</v>
      </c>
      <c r="AW83" s="17"/>
      <c r="AX83" s="23">
        <f t="shared" si="5"/>
        <v>0</v>
      </c>
    </row>
    <row r="84" spans="1:50" s="16" customFormat="1" ht="12">
      <c r="A84" s="3" t="s">
        <v>173</v>
      </c>
      <c r="B84" s="3"/>
      <c r="C84" s="3" t="s">
        <v>174</v>
      </c>
      <c r="D84" s="3"/>
      <c r="E84" s="3">
        <v>46839</v>
      </c>
      <c r="F84" s="3"/>
      <c r="G84" s="17">
        <v>0</v>
      </c>
      <c r="H84" s="17"/>
      <c r="I84" s="17">
        <v>0</v>
      </c>
      <c r="J84" s="17"/>
      <c r="K84" s="17">
        <v>1341093</v>
      </c>
      <c r="L84" s="17"/>
      <c r="M84" s="17">
        <v>2819</v>
      </c>
      <c r="N84" s="17"/>
      <c r="O84" s="17">
        <v>6094204</v>
      </c>
      <c r="P84" s="17"/>
      <c r="Q84" s="17">
        <v>0</v>
      </c>
      <c r="R84" s="17"/>
      <c r="S84" s="17">
        <v>0</v>
      </c>
      <c r="T84" s="17"/>
      <c r="U84" s="17">
        <v>0</v>
      </c>
      <c r="V84" s="17"/>
      <c r="W84" s="17">
        <f>1072151+9010</f>
        <v>1081161</v>
      </c>
      <c r="X84" s="17"/>
      <c r="Y84" s="23">
        <f t="shared" si="6"/>
        <v>8519277</v>
      </c>
      <c r="Z84" s="17"/>
      <c r="AA84" s="17">
        <v>0</v>
      </c>
      <c r="AB84" s="17"/>
      <c r="AC84" s="17">
        <v>0</v>
      </c>
      <c r="AD84" s="17"/>
      <c r="AE84" s="17">
        <v>0</v>
      </c>
      <c r="AF84" s="17"/>
      <c r="AG84" s="17">
        <v>0</v>
      </c>
      <c r="AH84" s="16" t="s">
        <v>173</v>
      </c>
      <c r="AJ84" s="16" t="s">
        <v>174</v>
      </c>
      <c r="AK84" s="17"/>
      <c r="AL84" s="17">
        <v>0</v>
      </c>
      <c r="AM84" s="17"/>
      <c r="AN84" s="17">
        <v>0</v>
      </c>
      <c r="AO84" s="17"/>
      <c r="AP84" s="17">
        <v>0</v>
      </c>
      <c r="AQ84" s="17"/>
      <c r="AR84" s="17">
        <v>0</v>
      </c>
      <c r="AS84" s="17"/>
      <c r="AT84" s="17">
        <v>0</v>
      </c>
      <c r="AU84" s="17"/>
      <c r="AV84" s="23">
        <f t="shared" si="7"/>
        <v>0</v>
      </c>
      <c r="AW84" s="17"/>
      <c r="AX84" s="23">
        <f t="shared" si="5"/>
        <v>8519277</v>
      </c>
    </row>
    <row r="85" spans="1:50" s="16" customFormat="1" ht="12">
      <c r="A85" s="3" t="s">
        <v>353</v>
      </c>
      <c r="B85" s="3"/>
      <c r="C85" s="3" t="s">
        <v>175</v>
      </c>
      <c r="D85" s="3"/>
      <c r="E85" s="3">
        <v>46938</v>
      </c>
      <c r="F85" s="3"/>
      <c r="G85" s="17">
        <v>0</v>
      </c>
      <c r="H85" s="17"/>
      <c r="I85" s="17">
        <v>0</v>
      </c>
      <c r="J85" s="17"/>
      <c r="K85" s="17">
        <f>549763+9426202+5953884</f>
        <v>15929849</v>
      </c>
      <c r="L85" s="17"/>
      <c r="M85" s="17">
        <v>108066</v>
      </c>
      <c r="N85" s="17"/>
      <c r="O85" s="17">
        <v>15089144</v>
      </c>
      <c r="P85" s="17"/>
      <c r="Q85" s="17">
        <v>2101</v>
      </c>
      <c r="R85" s="17"/>
      <c r="S85" s="17">
        <v>0</v>
      </c>
      <c r="T85" s="17"/>
      <c r="U85" s="17">
        <v>156357</v>
      </c>
      <c r="V85" s="17"/>
      <c r="W85" s="17">
        <f>23160361+120362+53896</f>
        <v>23334619</v>
      </c>
      <c r="X85" s="17"/>
      <c r="Y85" s="23">
        <f t="shared" si="6"/>
        <v>54620136</v>
      </c>
      <c r="Z85" s="17"/>
      <c r="AA85" s="17">
        <v>703546</v>
      </c>
      <c r="AB85" s="17"/>
      <c r="AC85" s="17">
        <v>0</v>
      </c>
      <c r="AD85" s="17"/>
      <c r="AE85" s="17">
        <v>0</v>
      </c>
      <c r="AF85" s="17"/>
      <c r="AG85" s="17">
        <v>0</v>
      </c>
      <c r="AH85" s="3" t="s">
        <v>353</v>
      </c>
      <c r="AJ85" s="16" t="s">
        <v>175</v>
      </c>
      <c r="AK85" s="17"/>
      <c r="AL85" s="17">
        <v>391641</v>
      </c>
      <c r="AM85" s="17"/>
      <c r="AN85" s="17">
        <v>75275</v>
      </c>
      <c r="AO85" s="17"/>
      <c r="AP85" s="17">
        <v>0</v>
      </c>
      <c r="AQ85" s="17"/>
      <c r="AR85" s="17">
        <v>0</v>
      </c>
      <c r="AS85" s="17"/>
      <c r="AT85" s="17">
        <v>0</v>
      </c>
      <c r="AU85" s="17"/>
      <c r="AV85" s="23">
        <f t="shared" si="7"/>
        <v>1170462</v>
      </c>
      <c r="AW85" s="17"/>
      <c r="AX85" s="23">
        <f t="shared" si="5"/>
        <v>55790598</v>
      </c>
    </row>
    <row r="86" spans="1:50" s="16" customFormat="1" ht="12">
      <c r="A86" s="3" t="s">
        <v>177</v>
      </c>
      <c r="B86" s="3"/>
      <c r="C86" s="3" t="s">
        <v>178</v>
      </c>
      <c r="D86" s="3"/>
      <c r="E86" s="3">
        <v>125682</v>
      </c>
      <c r="F86" s="3"/>
      <c r="G86" s="17">
        <v>0</v>
      </c>
      <c r="H86" s="17"/>
      <c r="I86" s="17"/>
      <c r="J86" s="17"/>
      <c r="K86" s="17">
        <v>2513583</v>
      </c>
      <c r="L86" s="17"/>
      <c r="M86" s="17">
        <v>40517</v>
      </c>
      <c r="N86" s="17"/>
      <c r="O86" s="17">
        <v>0</v>
      </c>
      <c r="P86" s="17"/>
      <c r="Q86" s="17">
        <v>0</v>
      </c>
      <c r="R86" s="17"/>
      <c r="S86" s="17">
        <v>0</v>
      </c>
      <c r="T86" s="17"/>
      <c r="U86" s="17">
        <v>0</v>
      </c>
      <c r="V86" s="17"/>
      <c r="W86" s="17">
        <f>112246+1552895+9432</f>
        <v>1674573</v>
      </c>
      <c r="X86" s="17"/>
      <c r="Y86" s="23">
        <f t="shared" si="6"/>
        <v>4228673</v>
      </c>
      <c r="Z86" s="17"/>
      <c r="AA86" s="17">
        <v>890</v>
      </c>
      <c r="AB86" s="17"/>
      <c r="AC86" s="17">
        <v>0</v>
      </c>
      <c r="AD86" s="17"/>
      <c r="AE86" s="17">
        <v>0</v>
      </c>
      <c r="AF86" s="17"/>
      <c r="AG86" s="17">
        <v>0</v>
      </c>
      <c r="AH86" s="16" t="s">
        <v>177</v>
      </c>
      <c r="AJ86" s="16" t="s">
        <v>178</v>
      </c>
      <c r="AK86" s="17"/>
      <c r="AL86" s="17">
        <v>0</v>
      </c>
      <c r="AM86" s="17"/>
      <c r="AN86" s="17">
        <v>0</v>
      </c>
      <c r="AO86" s="17"/>
      <c r="AP86" s="17">
        <v>0</v>
      </c>
      <c r="AQ86" s="17"/>
      <c r="AR86" s="17">
        <v>0</v>
      </c>
      <c r="AS86" s="17"/>
      <c r="AT86" s="17">
        <v>0</v>
      </c>
      <c r="AU86" s="17"/>
      <c r="AV86" s="23">
        <f t="shared" si="7"/>
        <v>890</v>
      </c>
      <c r="AW86" s="17"/>
      <c r="AX86" s="23">
        <f t="shared" si="5"/>
        <v>4229563</v>
      </c>
    </row>
    <row r="87" spans="1:50" s="16" customFormat="1" ht="12">
      <c r="A87" s="66" t="s">
        <v>376</v>
      </c>
      <c r="B87" s="3"/>
      <c r="C87" s="3" t="s">
        <v>179</v>
      </c>
      <c r="D87" s="3"/>
      <c r="E87" s="3">
        <v>47159</v>
      </c>
      <c r="F87" s="3"/>
      <c r="G87" s="17">
        <v>0</v>
      </c>
      <c r="H87" s="17"/>
      <c r="I87" s="17"/>
      <c r="J87" s="17"/>
      <c r="K87" s="17">
        <v>1092212</v>
      </c>
      <c r="L87" s="17"/>
      <c r="M87" s="17">
        <v>3342</v>
      </c>
      <c r="N87" s="17"/>
      <c r="O87" s="17">
        <v>2282733</v>
      </c>
      <c r="P87" s="17"/>
      <c r="Q87" s="17">
        <v>0</v>
      </c>
      <c r="R87" s="17"/>
      <c r="S87" s="17">
        <v>0</v>
      </c>
      <c r="T87" s="17"/>
      <c r="U87" s="17">
        <v>27469</v>
      </c>
      <c r="V87" s="17"/>
      <c r="W87" s="17">
        <f>7524457+1171</f>
        <v>7525628</v>
      </c>
      <c r="X87" s="17"/>
      <c r="Y87" s="23">
        <f t="shared" si="6"/>
        <v>10931384</v>
      </c>
      <c r="Z87" s="17"/>
      <c r="AA87" s="17">
        <v>67404</v>
      </c>
      <c r="AB87" s="17"/>
      <c r="AC87" s="17">
        <v>0</v>
      </c>
      <c r="AD87" s="17"/>
      <c r="AE87" s="17">
        <v>0</v>
      </c>
      <c r="AF87" s="17"/>
      <c r="AG87" s="17">
        <v>0</v>
      </c>
      <c r="AH87" s="35" t="s">
        <v>376</v>
      </c>
      <c r="AJ87" s="16" t="s">
        <v>179</v>
      </c>
      <c r="AK87" s="17"/>
      <c r="AL87" s="17">
        <v>0</v>
      </c>
      <c r="AM87" s="17"/>
      <c r="AN87" s="17">
        <v>0</v>
      </c>
      <c r="AO87" s="17"/>
      <c r="AP87" s="17">
        <v>0</v>
      </c>
      <c r="AQ87" s="17"/>
      <c r="AR87" s="17">
        <v>0</v>
      </c>
      <c r="AS87" s="17"/>
      <c r="AT87" s="17">
        <v>0</v>
      </c>
      <c r="AU87" s="17"/>
      <c r="AV87" s="23">
        <f t="shared" si="7"/>
        <v>67404</v>
      </c>
      <c r="AW87" s="17"/>
      <c r="AX87" s="23">
        <f t="shared" si="5"/>
        <v>10998788</v>
      </c>
    </row>
    <row r="88" spans="1:50" s="16" customFormat="1" ht="12">
      <c r="A88" s="3" t="s">
        <v>377</v>
      </c>
      <c r="B88" s="3"/>
      <c r="C88" s="3" t="s">
        <v>180</v>
      </c>
      <c r="D88" s="3"/>
      <c r="E88" s="3">
        <v>47233</v>
      </c>
      <c r="F88" s="3"/>
      <c r="G88" s="17">
        <v>0</v>
      </c>
      <c r="H88" s="17"/>
      <c r="I88" s="17"/>
      <c r="J88" s="17"/>
      <c r="K88" s="17">
        <v>2504369</v>
      </c>
      <c r="L88" s="17"/>
      <c r="M88" s="17">
        <v>17498</v>
      </c>
      <c r="N88" s="17"/>
      <c r="O88" s="17">
        <v>10809640</v>
      </c>
      <c r="P88" s="17"/>
      <c r="Q88" s="17">
        <v>0</v>
      </c>
      <c r="R88" s="17"/>
      <c r="S88" s="17">
        <v>0</v>
      </c>
      <c r="T88" s="17"/>
      <c r="U88" s="17">
        <v>0</v>
      </c>
      <c r="V88" s="17"/>
      <c r="W88" s="17">
        <v>316372</v>
      </c>
      <c r="X88" s="17"/>
      <c r="Y88" s="23">
        <f t="shared" si="6"/>
        <v>13647879</v>
      </c>
      <c r="Z88" s="17"/>
      <c r="AA88" s="17">
        <v>70423</v>
      </c>
      <c r="AB88" s="17"/>
      <c r="AC88" s="17">
        <v>0</v>
      </c>
      <c r="AD88" s="17"/>
      <c r="AE88" s="17">
        <v>0</v>
      </c>
      <c r="AF88" s="17"/>
      <c r="AG88" s="17">
        <v>0</v>
      </c>
      <c r="AH88" s="16" t="s">
        <v>377</v>
      </c>
      <c r="AJ88" s="16" t="s">
        <v>180</v>
      </c>
      <c r="AK88" s="17"/>
      <c r="AL88" s="17">
        <v>0</v>
      </c>
      <c r="AM88" s="17"/>
      <c r="AN88" s="17">
        <v>0</v>
      </c>
      <c r="AO88" s="17"/>
      <c r="AP88" s="17">
        <v>0</v>
      </c>
      <c r="AQ88" s="17"/>
      <c r="AR88" s="17">
        <v>0</v>
      </c>
      <c r="AS88" s="17"/>
      <c r="AT88" s="17">
        <v>0</v>
      </c>
      <c r="AU88" s="17"/>
      <c r="AV88" s="23">
        <f t="shared" si="7"/>
        <v>70423</v>
      </c>
      <c r="AW88" s="17"/>
      <c r="AX88" s="23">
        <f t="shared" si="5"/>
        <v>13718302</v>
      </c>
    </row>
    <row r="89" spans="1:50" s="16" customFormat="1" ht="12">
      <c r="A89" s="3" t="s">
        <v>378</v>
      </c>
      <c r="B89" s="3"/>
      <c r="C89" s="3" t="s">
        <v>181</v>
      </c>
      <c r="D89" s="3"/>
      <c r="E89" s="3">
        <v>47324</v>
      </c>
      <c r="F89" s="3"/>
      <c r="G89" s="17">
        <v>0</v>
      </c>
      <c r="H89" s="17"/>
      <c r="I89" s="17"/>
      <c r="J89" s="17"/>
      <c r="K89" s="17">
        <v>13002890</v>
      </c>
      <c r="L89" s="17"/>
      <c r="M89" s="17">
        <v>101267</v>
      </c>
      <c r="N89" s="17"/>
      <c r="O89" s="17">
        <v>1807491</v>
      </c>
      <c r="P89" s="17"/>
      <c r="Q89" s="17">
        <v>0</v>
      </c>
      <c r="R89" s="17"/>
      <c r="S89" s="17">
        <v>0</v>
      </c>
      <c r="T89" s="17"/>
      <c r="U89" s="17">
        <v>0</v>
      </c>
      <c r="V89" s="17"/>
      <c r="W89" s="17">
        <f>421936+25592916+193493</f>
        <v>26208345</v>
      </c>
      <c r="X89" s="17"/>
      <c r="Y89" s="23">
        <f t="shared" si="6"/>
        <v>41119993</v>
      </c>
      <c r="Z89" s="17"/>
      <c r="AA89" s="17">
        <v>0</v>
      </c>
      <c r="AB89" s="17"/>
      <c r="AC89" s="17">
        <v>0</v>
      </c>
      <c r="AD89" s="17"/>
      <c r="AE89" s="17">
        <v>0</v>
      </c>
      <c r="AF89" s="17"/>
      <c r="AG89" s="17">
        <v>0</v>
      </c>
      <c r="AH89" s="16" t="s">
        <v>378</v>
      </c>
      <c r="AJ89" s="16" t="s">
        <v>181</v>
      </c>
      <c r="AK89" s="17"/>
      <c r="AL89" s="17">
        <v>0</v>
      </c>
      <c r="AM89" s="17"/>
      <c r="AN89" s="17">
        <v>0</v>
      </c>
      <c r="AO89" s="17"/>
      <c r="AP89" s="17">
        <v>0</v>
      </c>
      <c r="AQ89" s="17"/>
      <c r="AR89" s="17">
        <v>0</v>
      </c>
      <c r="AS89" s="17"/>
      <c r="AT89" s="17">
        <v>0</v>
      </c>
      <c r="AU89" s="17"/>
      <c r="AV89" s="23">
        <f t="shared" si="7"/>
        <v>0</v>
      </c>
      <c r="AW89" s="17"/>
      <c r="AX89" s="23">
        <f t="shared" si="5"/>
        <v>41119993</v>
      </c>
    </row>
    <row r="90" spans="1:50" s="16" customFormat="1" ht="12">
      <c r="A90" s="3" t="s">
        <v>379</v>
      </c>
      <c r="B90" s="3"/>
      <c r="C90" s="3" t="s">
        <v>182</v>
      </c>
      <c r="D90" s="3"/>
      <c r="E90" s="3">
        <v>47407</v>
      </c>
      <c r="F90" s="3"/>
      <c r="G90" s="17">
        <v>0</v>
      </c>
      <c r="H90" s="17"/>
      <c r="I90" s="17"/>
      <c r="J90" s="17"/>
      <c r="K90" s="17">
        <v>940767</v>
      </c>
      <c r="L90" s="17"/>
      <c r="M90" s="17">
        <v>3773</v>
      </c>
      <c r="N90" s="17"/>
      <c r="O90" s="17">
        <v>1837023</v>
      </c>
      <c r="P90" s="17"/>
      <c r="Q90" s="17">
        <v>0</v>
      </c>
      <c r="R90" s="17"/>
      <c r="S90" s="17">
        <v>0</v>
      </c>
      <c r="T90" s="17"/>
      <c r="U90" s="17">
        <v>0</v>
      </c>
      <c r="V90" s="17"/>
      <c r="W90" s="17">
        <f>2481329+45986</f>
        <v>2527315</v>
      </c>
      <c r="X90" s="17"/>
      <c r="Y90" s="23">
        <f t="shared" si="6"/>
        <v>5308878</v>
      </c>
      <c r="Z90" s="17"/>
      <c r="AA90" s="17">
        <v>0</v>
      </c>
      <c r="AB90" s="17"/>
      <c r="AC90" s="17">
        <v>0</v>
      </c>
      <c r="AD90" s="17"/>
      <c r="AE90" s="17">
        <v>0</v>
      </c>
      <c r="AF90" s="17"/>
      <c r="AG90" s="17">
        <v>0</v>
      </c>
      <c r="AH90" s="16" t="s">
        <v>379</v>
      </c>
      <c r="AJ90" s="16" t="s">
        <v>182</v>
      </c>
      <c r="AK90" s="17"/>
      <c r="AL90" s="17">
        <v>0</v>
      </c>
      <c r="AM90" s="17"/>
      <c r="AN90" s="17">
        <v>0</v>
      </c>
      <c r="AO90" s="17"/>
      <c r="AP90" s="17">
        <v>0</v>
      </c>
      <c r="AQ90" s="17"/>
      <c r="AR90" s="17">
        <v>0</v>
      </c>
      <c r="AS90" s="17"/>
      <c r="AT90" s="17">
        <v>0</v>
      </c>
      <c r="AU90" s="17"/>
      <c r="AV90" s="23">
        <f t="shared" si="7"/>
        <v>0</v>
      </c>
      <c r="AW90" s="17"/>
      <c r="AX90" s="23">
        <f t="shared" si="5"/>
        <v>5308878</v>
      </c>
    </row>
    <row r="91" spans="1:50" s="16" customFormat="1" ht="12">
      <c r="A91" s="3" t="s">
        <v>380</v>
      </c>
      <c r="B91" s="3"/>
      <c r="C91" s="3" t="s">
        <v>21</v>
      </c>
      <c r="D91" s="3"/>
      <c r="E91" s="3">
        <v>47480</v>
      </c>
      <c r="F91" s="3"/>
      <c r="G91" s="17">
        <v>0</v>
      </c>
      <c r="H91" s="17"/>
      <c r="I91" s="17"/>
      <c r="J91" s="17"/>
      <c r="K91" s="17">
        <v>1203707</v>
      </c>
      <c r="L91" s="17"/>
      <c r="M91" s="17">
        <v>1290</v>
      </c>
      <c r="N91" s="17"/>
      <c r="O91" s="17">
        <v>1471211</v>
      </c>
      <c r="P91" s="17"/>
      <c r="Q91" s="17">
        <v>0</v>
      </c>
      <c r="R91" s="17"/>
      <c r="S91" s="17">
        <v>0</v>
      </c>
      <c r="T91" s="17"/>
      <c r="U91" s="17">
        <v>0</v>
      </c>
      <c r="V91" s="17"/>
      <c r="W91" s="17">
        <v>74476</v>
      </c>
      <c r="X91" s="17"/>
      <c r="Y91" s="23">
        <f t="shared" si="6"/>
        <v>2750684</v>
      </c>
      <c r="Z91" s="17"/>
      <c r="AA91" s="17">
        <v>0</v>
      </c>
      <c r="AB91" s="17"/>
      <c r="AC91" s="17">
        <v>0</v>
      </c>
      <c r="AD91" s="17"/>
      <c r="AE91" s="17">
        <v>0</v>
      </c>
      <c r="AF91" s="17"/>
      <c r="AG91" s="17">
        <v>0</v>
      </c>
      <c r="AH91" s="16" t="s">
        <v>380</v>
      </c>
      <c r="AJ91" s="16" t="s">
        <v>21</v>
      </c>
      <c r="AK91" s="17"/>
      <c r="AL91" s="17">
        <v>0</v>
      </c>
      <c r="AM91" s="17"/>
      <c r="AN91" s="17">
        <v>0</v>
      </c>
      <c r="AO91" s="17"/>
      <c r="AP91" s="17">
        <v>0</v>
      </c>
      <c r="AQ91" s="17"/>
      <c r="AR91" s="17">
        <v>0</v>
      </c>
      <c r="AS91" s="17"/>
      <c r="AT91" s="17">
        <v>0</v>
      </c>
      <c r="AU91" s="17"/>
      <c r="AV91" s="23">
        <f t="shared" si="7"/>
        <v>0</v>
      </c>
      <c r="AW91" s="17"/>
      <c r="AX91" s="23">
        <f t="shared" si="5"/>
        <v>2750684</v>
      </c>
    </row>
    <row r="92" spans="1:50" s="16" customFormat="1" ht="12">
      <c r="A92" s="3" t="s">
        <v>381</v>
      </c>
      <c r="B92" s="3"/>
      <c r="C92" s="3" t="s">
        <v>183</v>
      </c>
      <c r="D92" s="3"/>
      <c r="E92" s="3">
        <v>47779</v>
      </c>
      <c r="F92" s="3"/>
      <c r="G92" s="17">
        <v>0</v>
      </c>
      <c r="H92" s="17"/>
      <c r="I92" s="17"/>
      <c r="J92" s="17"/>
      <c r="K92" s="17">
        <f>136774+779943</f>
        <v>916717</v>
      </c>
      <c r="L92" s="17"/>
      <c r="M92" s="17">
        <v>19047</v>
      </c>
      <c r="N92" s="17"/>
      <c r="O92" s="17">
        <v>713319</v>
      </c>
      <c r="P92" s="17"/>
      <c r="Q92" s="17">
        <v>0</v>
      </c>
      <c r="R92" s="17"/>
      <c r="S92" s="17">
        <v>0</v>
      </c>
      <c r="T92" s="17"/>
      <c r="U92" s="17">
        <v>0</v>
      </c>
      <c r="V92" s="17"/>
      <c r="W92" s="17">
        <f>4933580+188789</f>
        <v>5122369</v>
      </c>
      <c r="X92" s="17"/>
      <c r="Y92" s="23">
        <f t="shared" si="6"/>
        <v>6771452</v>
      </c>
      <c r="Z92" s="17"/>
      <c r="AA92" s="17">
        <v>0</v>
      </c>
      <c r="AB92" s="17"/>
      <c r="AC92" s="17">
        <v>0</v>
      </c>
      <c r="AD92" s="17"/>
      <c r="AE92" s="17">
        <v>0</v>
      </c>
      <c r="AF92" s="17"/>
      <c r="AG92" s="17">
        <v>0</v>
      </c>
      <c r="AH92" s="16" t="s">
        <v>381</v>
      </c>
      <c r="AJ92" s="16" t="s">
        <v>183</v>
      </c>
      <c r="AK92" s="17"/>
      <c r="AL92" s="17">
        <v>18120</v>
      </c>
      <c r="AM92" s="17"/>
      <c r="AN92" s="17">
        <v>0</v>
      </c>
      <c r="AO92" s="17"/>
      <c r="AP92" s="17">
        <v>0</v>
      </c>
      <c r="AQ92" s="17"/>
      <c r="AR92" s="17">
        <v>0</v>
      </c>
      <c r="AS92" s="17"/>
      <c r="AT92" s="17">
        <v>0</v>
      </c>
      <c r="AU92" s="17"/>
      <c r="AV92" s="23">
        <f t="shared" si="7"/>
        <v>18120</v>
      </c>
      <c r="AW92" s="17"/>
      <c r="AX92" s="23">
        <f t="shared" si="5"/>
        <v>6789572</v>
      </c>
    </row>
    <row r="93" spans="1:50" s="16" customFormat="1" ht="12">
      <c r="A93" s="3" t="s">
        <v>382</v>
      </c>
      <c r="B93" s="3"/>
      <c r="C93" s="3" t="s">
        <v>184</v>
      </c>
      <c r="D93" s="3"/>
      <c r="E93" s="3">
        <v>47811</v>
      </c>
      <c r="F93" s="3"/>
      <c r="G93" s="17">
        <v>0</v>
      </c>
      <c r="H93" s="17"/>
      <c r="I93" s="17"/>
      <c r="J93" s="17"/>
      <c r="K93" s="17">
        <v>1255749</v>
      </c>
      <c r="L93" s="17"/>
      <c r="M93" s="17">
        <v>1349</v>
      </c>
      <c r="N93" s="17"/>
      <c r="O93" s="17">
        <v>276739</v>
      </c>
      <c r="P93" s="17"/>
      <c r="Q93" s="17">
        <v>5936</v>
      </c>
      <c r="R93" s="17"/>
      <c r="S93" s="17">
        <v>0</v>
      </c>
      <c r="T93" s="17"/>
      <c r="U93" s="17">
        <v>29791</v>
      </c>
      <c r="V93" s="17"/>
      <c r="W93" s="17">
        <f>4271655+12139</f>
        <v>4283794</v>
      </c>
      <c r="X93" s="17"/>
      <c r="Y93" s="23">
        <f t="shared" si="6"/>
        <v>5853358</v>
      </c>
      <c r="Z93" s="17"/>
      <c r="AA93" s="17">
        <v>0</v>
      </c>
      <c r="AB93" s="17"/>
      <c r="AC93" s="17">
        <v>0</v>
      </c>
      <c r="AD93" s="17"/>
      <c r="AE93" s="17">
        <v>0</v>
      </c>
      <c r="AF93" s="17"/>
      <c r="AG93" s="17">
        <v>0</v>
      </c>
      <c r="AH93" s="16" t="s">
        <v>382</v>
      </c>
      <c r="AJ93" s="16" t="s">
        <v>184</v>
      </c>
      <c r="AK93" s="17"/>
      <c r="AL93" s="17">
        <v>0</v>
      </c>
      <c r="AM93" s="17"/>
      <c r="AN93" s="17">
        <v>0</v>
      </c>
      <c r="AO93" s="17"/>
      <c r="AP93" s="17">
        <v>0</v>
      </c>
      <c r="AQ93" s="17"/>
      <c r="AR93" s="17">
        <v>0</v>
      </c>
      <c r="AS93" s="17"/>
      <c r="AT93" s="17">
        <v>0</v>
      </c>
      <c r="AU93" s="17"/>
      <c r="AV93" s="23">
        <f t="shared" si="7"/>
        <v>0</v>
      </c>
      <c r="AW93" s="17"/>
      <c r="AX93" s="23">
        <f t="shared" si="5"/>
        <v>5853358</v>
      </c>
    </row>
    <row r="94" spans="1:50" s="16" customFormat="1" ht="12">
      <c r="A94" s="3" t="s">
        <v>383</v>
      </c>
      <c r="B94" s="3"/>
      <c r="C94" s="3" t="s">
        <v>154</v>
      </c>
      <c r="D94" s="3"/>
      <c r="E94" s="3">
        <v>47860</v>
      </c>
      <c r="F94" s="3"/>
      <c r="G94" s="17">
        <v>6356619</v>
      </c>
      <c r="H94" s="17"/>
      <c r="I94" s="17"/>
      <c r="J94" s="17"/>
      <c r="K94" s="17">
        <v>5289868</v>
      </c>
      <c r="L94" s="17"/>
      <c r="M94" s="17">
        <v>691</v>
      </c>
      <c r="N94" s="17"/>
      <c r="O94" s="17">
        <v>3037155</v>
      </c>
      <c r="P94" s="17"/>
      <c r="Q94" s="17">
        <v>74749</v>
      </c>
      <c r="R94" s="17"/>
      <c r="S94" s="17">
        <v>0</v>
      </c>
      <c r="T94" s="17"/>
      <c r="U94" s="17">
        <v>0</v>
      </c>
      <c r="V94" s="17"/>
      <c r="W94" s="17">
        <f>5156024+55175+106131</f>
        <v>5317330</v>
      </c>
      <c r="X94" s="17"/>
      <c r="Y94" s="23">
        <f t="shared" si="6"/>
        <v>20076412</v>
      </c>
      <c r="Z94" s="17"/>
      <c r="AA94" s="17">
        <v>66925</v>
      </c>
      <c r="AB94" s="17"/>
      <c r="AC94" s="17">
        <v>0</v>
      </c>
      <c r="AD94" s="17"/>
      <c r="AE94" s="17">
        <v>0</v>
      </c>
      <c r="AF94" s="17"/>
      <c r="AG94" s="17">
        <v>0</v>
      </c>
      <c r="AH94" s="16" t="s">
        <v>383</v>
      </c>
      <c r="AJ94" s="16" t="s">
        <v>154</v>
      </c>
      <c r="AK94" s="17"/>
      <c r="AL94" s="17">
        <v>0</v>
      </c>
      <c r="AM94" s="17"/>
      <c r="AN94" s="17">
        <v>0</v>
      </c>
      <c r="AO94" s="17"/>
      <c r="AP94" s="17">
        <v>0</v>
      </c>
      <c r="AQ94" s="17"/>
      <c r="AR94" s="17">
        <v>0</v>
      </c>
      <c r="AS94" s="17"/>
      <c r="AT94" s="17">
        <v>0</v>
      </c>
      <c r="AU94" s="17"/>
      <c r="AV94" s="23">
        <f t="shared" si="7"/>
        <v>66925</v>
      </c>
      <c r="AW94" s="17"/>
      <c r="AX94" s="23">
        <f t="shared" si="5"/>
        <v>20143337</v>
      </c>
    </row>
    <row r="95" spans="1:50" s="16" customFormat="1" ht="12">
      <c r="A95" s="3" t="s">
        <v>368</v>
      </c>
      <c r="B95" s="3"/>
      <c r="C95" s="3" t="s">
        <v>185</v>
      </c>
      <c r="D95" s="3"/>
      <c r="E95" s="3">
        <v>47910</v>
      </c>
      <c r="F95" s="3"/>
      <c r="G95" s="17">
        <v>0</v>
      </c>
      <c r="H95" s="17"/>
      <c r="I95" s="17"/>
      <c r="J95" s="17"/>
      <c r="K95" s="17">
        <v>391921</v>
      </c>
      <c r="L95" s="17"/>
      <c r="M95" s="17">
        <v>262</v>
      </c>
      <c r="N95" s="17"/>
      <c r="O95" s="17">
        <v>0</v>
      </c>
      <c r="P95" s="17"/>
      <c r="Q95" s="17">
        <v>0</v>
      </c>
      <c r="R95" s="17"/>
      <c r="S95" s="17">
        <v>0</v>
      </c>
      <c r="T95" s="17"/>
      <c r="U95" s="17">
        <v>0</v>
      </c>
      <c r="V95" s="17"/>
      <c r="W95" s="17">
        <f>628739+604366+1770+55856</f>
        <v>1290731</v>
      </c>
      <c r="X95" s="17"/>
      <c r="Y95" s="23">
        <f t="shared" si="6"/>
        <v>1682914</v>
      </c>
      <c r="Z95" s="17"/>
      <c r="AA95" s="17">
        <v>0</v>
      </c>
      <c r="AB95" s="17"/>
      <c r="AC95" s="17">
        <v>0</v>
      </c>
      <c r="AD95" s="17"/>
      <c r="AE95" s="17">
        <v>0</v>
      </c>
      <c r="AF95" s="17"/>
      <c r="AG95" s="17">
        <v>0</v>
      </c>
      <c r="AH95" s="16" t="s">
        <v>368</v>
      </c>
      <c r="AJ95" s="16" t="s">
        <v>185</v>
      </c>
      <c r="AK95" s="17"/>
      <c r="AL95" s="17">
        <v>0</v>
      </c>
      <c r="AM95" s="17"/>
      <c r="AN95" s="17">
        <v>0</v>
      </c>
      <c r="AO95" s="17"/>
      <c r="AP95" s="17">
        <v>0</v>
      </c>
      <c r="AQ95" s="17"/>
      <c r="AR95" s="17">
        <v>0</v>
      </c>
      <c r="AS95" s="17"/>
      <c r="AT95" s="17">
        <v>0</v>
      </c>
      <c r="AU95" s="17"/>
      <c r="AV95" s="23">
        <f t="shared" si="7"/>
        <v>0</v>
      </c>
      <c r="AW95" s="17"/>
      <c r="AX95" s="23">
        <f t="shared" si="5"/>
        <v>1682914</v>
      </c>
    </row>
    <row r="96" spans="1:50" s="16" customFormat="1" ht="12">
      <c r="A96" s="3" t="s">
        <v>369</v>
      </c>
      <c r="B96" s="3"/>
      <c r="C96" s="3" t="s">
        <v>187</v>
      </c>
      <c r="D96" s="3"/>
      <c r="E96" s="3"/>
      <c r="F96" s="3"/>
      <c r="G96" s="17">
        <v>0</v>
      </c>
      <c r="H96" s="17"/>
      <c r="I96" s="17"/>
      <c r="J96" s="17"/>
      <c r="K96" s="17">
        <v>2460041</v>
      </c>
      <c r="L96" s="17"/>
      <c r="M96" s="17">
        <v>3339</v>
      </c>
      <c r="N96" s="17"/>
      <c r="O96" s="17">
        <v>368219</v>
      </c>
      <c r="P96" s="17"/>
      <c r="Q96" s="17">
        <v>0</v>
      </c>
      <c r="R96" s="17"/>
      <c r="S96" s="17">
        <v>0</v>
      </c>
      <c r="T96" s="17"/>
      <c r="U96" s="17">
        <v>51795</v>
      </c>
      <c r="V96" s="17"/>
      <c r="W96" s="17">
        <f>9505+8139276</f>
        <v>8148781</v>
      </c>
      <c r="X96" s="17"/>
      <c r="Y96" s="23">
        <f t="shared" si="6"/>
        <v>11032175</v>
      </c>
      <c r="Z96" s="17"/>
      <c r="AA96" s="17">
        <v>0</v>
      </c>
      <c r="AB96" s="17"/>
      <c r="AC96" s="17">
        <v>0</v>
      </c>
      <c r="AD96" s="17"/>
      <c r="AE96" s="17">
        <v>0</v>
      </c>
      <c r="AF96" s="17"/>
      <c r="AG96" s="17">
        <v>0</v>
      </c>
      <c r="AH96" s="3" t="s">
        <v>369</v>
      </c>
      <c r="AI96" s="3"/>
      <c r="AJ96" s="3" t="s">
        <v>187</v>
      </c>
      <c r="AK96" s="17"/>
      <c r="AL96" s="17">
        <v>19134</v>
      </c>
      <c r="AM96" s="17"/>
      <c r="AN96" s="17">
        <v>0</v>
      </c>
      <c r="AO96" s="17"/>
      <c r="AP96" s="17">
        <v>0</v>
      </c>
      <c r="AQ96" s="17"/>
      <c r="AR96" s="17">
        <v>0</v>
      </c>
      <c r="AS96" s="17"/>
      <c r="AT96" s="17">
        <v>0</v>
      </c>
      <c r="AU96" s="17"/>
      <c r="AV96" s="23">
        <f>SUM(AA96:AT96)</f>
        <v>19134</v>
      </c>
      <c r="AW96" s="17"/>
      <c r="AX96" s="23">
        <f t="shared" si="5"/>
        <v>11051309</v>
      </c>
    </row>
    <row r="97" spans="1:50" s="16" customFormat="1" ht="12">
      <c r="A97" s="3" t="s">
        <v>370</v>
      </c>
      <c r="B97" s="3"/>
      <c r="C97" s="3" t="s">
        <v>188</v>
      </c>
      <c r="D97" s="3"/>
      <c r="E97" s="3">
        <v>48058</v>
      </c>
      <c r="F97" s="3"/>
      <c r="G97" s="3">
        <v>0</v>
      </c>
      <c r="H97" s="17"/>
      <c r="I97" s="17"/>
      <c r="J97" s="17"/>
      <c r="K97" s="17">
        <v>305213</v>
      </c>
      <c r="L97" s="17"/>
      <c r="M97" s="17">
        <v>575</v>
      </c>
      <c r="N97" s="17"/>
      <c r="O97" s="17">
        <v>2623227</v>
      </c>
      <c r="P97" s="17"/>
      <c r="Q97" s="17">
        <v>250</v>
      </c>
      <c r="R97" s="17"/>
      <c r="S97" s="17">
        <v>0</v>
      </c>
      <c r="T97" s="17"/>
      <c r="U97" s="17">
        <v>19453</v>
      </c>
      <c r="V97" s="17"/>
      <c r="W97" s="17">
        <f>617445+47706</f>
        <v>665151</v>
      </c>
      <c r="X97" s="17"/>
      <c r="Y97" s="23">
        <f>SUM(H97:X97)</f>
        <v>3613869</v>
      </c>
      <c r="Z97" s="17"/>
      <c r="AA97" s="17">
        <v>0</v>
      </c>
      <c r="AB97" s="17"/>
      <c r="AC97" s="17">
        <v>0</v>
      </c>
      <c r="AD97" s="17"/>
      <c r="AE97" s="17">
        <v>0</v>
      </c>
      <c r="AF97" s="17"/>
      <c r="AG97" s="17">
        <v>0</v>
      </c>
      <c r="AH97" s="16" t="s">
        <v>370</v>
      </c>
      <c r="AJ97" s="16" t="s">
        <v>188</v>
      </c>
      <c r="AK97" s="17"/>
      <c r="AL97" s="17">
        <v>0</v>
      </c>
      <c r="AM97" s="17"/>
      <c r="AN97" s="17">
        <v>0</v>
      </c>
      <c r="AO97" s="17"/>
      <c r="AP97" s="17">
        <v>0</v>
      </c>
      <c r="AQ97" s="17"/>
      <c r="AR97" s="17">
        <v>0</v>
      </c>
      <c r="AS97" s="17"/>
      <c r="AT97" s="17">
        <v>0</v>
      </c>
      <c r="AU97" s="17"/>
      <c r="AV97" s="23">
        <f t="shared" si="7"/>
        <v>0</v>
      </c>
      <c r="AW97" s="17"/>
      <c r="AX97" s="23">
        <f t="shared" si="5"/>
        <v>3613869</v>
      </c>
    </row>
    <row r="98" spans="1:50" s="16" customFormat="1" ht="12">
      <c r="A98" s="3" t="s">
        <v>371</v>
      </c>
      <c r="B98" s="3"/>
      <c r="C98" s="3" t="s">
        <v>150</v>
      </c>
      <c r="D98" s="3"/>
      <c r="E98" s="3">
        <v>48108</v>
      </c>
      <c r="F98" s="3"/>
      <c r="G98" s="17">
        <v>0</v>
      </c>
      <c r="H98" s="17"/>
      <c r="I98" s="17"/>
      <c r="J98" s="17"/>
      <c r="K98" s="17">
        <v>4688449</v>
      </c>
      <c r="L98" s="17"/>
      <c r="M98" s="17">
        <v>88208</v>
      </c>
      <c r="N98" s="17"/>
      <c r="O98" s="17">
        <v>4284470</v>
      </c>
      <c r="P98" s="17"/>
      <c r="Q98" s="17">
        <v>0</v>
      </c>
      <c r="R98" s="17"/>
      <c r="S98" s="17">
        <v>0</v>
      </c>
      <c r="T98" s="17"/>
      <c r="U98" s="17">
        <v>0</v>
      </c>
      <c r="V98" s="17"/>
      <c r="W98" s="17">
        <f>1707311+49505</f>
        <v>1756816</v>
      </c>
      <c r="X98" s="17"/>
      <c r="Y98" s="23">
        <f t="shared" si="6"/>
        <v>10817943</v>
      </c>
      <c r="Z98" s="17"/>
      <c r="AA98" s="17">
        <v>0</v>
      </c>
      <c r="AB98" s="17"/>
      <c r="AC98" s="17">
        <v>0</v>
      </c>
      <c r="AD98" s="17"/>
      <c r="AE98" s="17">
        <v>0</v>
      </c>
      <c r="AF98" s="17"/>
      <c r="AG98" s="17">
        <v>0</v>
      </c>
      <c r="AH98" s="16" t="s">
        <v>371</v>
      </c>
      <c r="AJ98" s="16" t="s">
        <v>150</v>
      </c>
      <c r="AK98" s="17"/>
      <c r="AL98" s="17">
        <v>0</v>
      </c>
      <c r="AM98" s="17"/>
      <c r="AN98" s="17">
        <v>0</v>
      </c>
      <c r="AO98" s="17"/>
      <c r="AP98" s="17">
        <v>0</v>
      </c>
      <c r="AQ98" s="17"/>
      <c r="AR98" s="17">
        <v>0</v>
      </c>
      <c r="AS98" s="17"/>
      <c r="AT98" s="17">
        <v>0</v>
      </c>
      <c r="AU98" s="17"/>
      <c r="AV98" s="23">
        <f t="shared" si="7"/>
        <v>0</v>
      </c>
      <c r="AW98" s="17"/>
      <c r="AX98" s="23">
        <f t="shared" si="5"/>
        <v>10817943</v>
      </c>
    </row>
    <row r="99" spans="1:50" s="16" customFormat="1" ht="12">
      <c r="A99" s="3" t="s">
        <v>372</v>
      </c>
      <c r="B99" s="3"/>
      <c r="C99" s="3" t="s">
        <v>189</v>
      </c>
      <c r="D99" s="3"/>
      <c r="E99" s="3">
        <v>48199</v>
      </c>
      <c r="F99" s="3"/>
      <c r="G99" s="17">
        <v>0</v>
      </c>
      <c r="H99" s="17"/>
      <c r="I99" s="17"/>
      <c r="J99" s="17"/>
      <c r="K99" s="17">
        <f>4308396+3189281</f>
        <v>7497677</v>
      </c>
      <c r="L99" s="17"/>
      <c r="M99" s="17">
        <v>63758</v>
      </c>
      <c r="N99" s="17"/>
      <c r="O99" s="17">
        <v>8775966</v>
      </c>
      <c r="P99" s="17"/>
      <c r="Q99" s="17">
        <v>3337</v>
      </c>
      <c r="R99" s="17"/>
      <c r="S99" s="17">
        <v>0</v>
      </c>
      <c r="T99" s="17"/>
      <c r="U99" s="17">
        <v>24058</v>
      </c>
      <c r="V99" s="17"/>
      <c r="W99" s="17">
        <f>77568+4361+9398779+201781+196676</f>
        <v>9879165</v>
      </c>
      <c r="X99" s="17"/>
      <c r="Y99" s="23">
        <f t="shared" si="6"/>
        <v>26243961</v>
      </c>
      <c r="Z99" s="17"/>
      <c r="AA99" s="17">
        <v>2078450</v>
      </c>
      <c r="AB99" s="17"/>
      <c r="AC99" s="17">
        <v>0</v>
      </c>
      <c r="AD99" s="17"/>
      <c r="AE99" s="17">
        <v>0</v>
      </c>
      <c r="AF99" s="17"/>
      <c r="AG99" s="17">
        <v>0</v>
      </c>
      <c r="AH99" s="16" t="s">
        <v>372</v>
      </c>
      <c r="AJ99" s="16" t="s">
        <v>189</v>
      </c>
      <c r="AK99" s="17"/>
      <c r="AL99" s="17">
        <v>10800</v>
      </c>
      <c r="AM99" s="17"/>
      <c r="AN99" s="17">
        <v>9048</v>
      </c>
      <c r="AO99" s="17"/>
      <c r="AP99" s="17">
        <v>0</v>
      </c>
      <c r="AQ99" s="17"/>
      <c r="AR99" s="17">
        <v>0</v>
      </c>
      <c r="AS99" s="17"/>
      <c r="AT99" s="17">
        <v>0</v>
      </c>
      <c r="AU99" s="17"/>
      <c r="AV99" s="23">
        <f t="shared" si="7"/>
        <v>2098298</v>
      </c>
      <c r="AW99" s="17"/>
      <c r="AX99" s="23">
        <f t="shared" si="5"/>
        <v>28342259</v>
      </c>
    </row>
    <row r="100" spans="1:50" s="16" customFormat="1" ht="12">
      <c r="A100" s="3" t="s">
        <v>159</v>
      </c>
      <c r="B100" s="3"/>
      <c r="C100" s="3" t="s">
        <v>160</v>
      </c>
      <c r="D100" s="3"/>
      <c r="E100" s="3">
        <v>137364</v>
      </c>
      <c r="F100" s="3"/>
      <c r="G100" s="17">
        <v>0</v>
      </c>
      <c r="H100" s="17"/>
      <c r="I100" s="17"/>
      <c r="J100" s="17"/>
      <c r="K100" s="17">
        <f>1627481+252084+7500</f>
        <v>1887065</v>
      </c>
      <c r="L100" s="17"/>
      <c r="M100" s="17">
        <v>23627</v>
      </c>
      <c r="N100" s="17"/>
      <c r="O100" s="17">
        <f>8846242+51016+2849</f>
        <v>8900107</v>
      </c>
      <c r="P100" s="17"/>
      <c r="Q100" s="17">
        <v>0</v>
      </c>
      <c r="R100" s="17"/>
      <c r="S100" s="17">
        <v>0</v>
      </c>
      <c r="T100" s="17"/>
      <c r="U100" s="17">
        <v>0</v>
      </c>
      <c r="V100" s="17"/>
      <c r="W100" s="17">
        <f>28336+196803</f>
        <v>225139</v>
      </c>
      <c r="X100" s="17"/>
      <c r="Y100" s="23">
        <f t="shared" si="6"/>
        <v>11035938</v>
      </c>
      <c r="Z100" s="17"/>
      <c r="AA100" s="17">
        <v>0</v>
      </c>
      <c r="AB100" s="17"/>
      <c r="AC100" s="17">
        <v>0</v>
      </c>
      <c r="AD100" s="17"/>
      <c r="AE100" s="17">
        <v>0</v>
      </c>
      <c r="AF100" s="17"/>
      <c r="AG100" s="17">
        <v>0</v>
      </c>
      <c r="AH100" s="16" t="s">
        <v>159</v>
      </c>
      <c r="AJ100" s="16" t="s">
        <v>160</v>
      </c>
      <c r="AK100" s="17"/>
      <c r="AL100" s="17">
        <v>0</v>
      </c>
      <c r="AM100" s="17"/>
      <c r="AN100" s="17">
        <v>0</v>
      </c>
      <c r="AO100" s="17"/>
      <c r="AP100" s="17">
        <v>0</v>
      </c>
      <c r="AQ100" s="17"/>
      <c r="AR100" s="17">
        <v>0</v>
      </c>
      <c r="AS100" s="17"/>
      <c r="AT100" s="17">
        <v>0</v>
      </c>
      <c r="AU100" s="17"/>
      <c r="AV100" s="23">
        <f t="shared" si="7"/>
        <v>0</v>
      </c>
      <c r="AW100" s="17"/>
      <c r="AX100" s="23">
        <f t="shared" si="5"/>
        <v>11035938</v>
      </c>
    </row>
    <row r="101" spans="1:50" s="16" customFormat="1" ht="12">
      <c r="A101" s="3" t="s">
        <v>190</v>
      </c>
      <c r="B101" s="3"/>
      <c r="C101" s="3" t="s">
        <v>191</v>
      </c>
      <c r="D101" s="3"/>
      <c r="E101" s="3">
        <v>48280</v>
      </c>
      <c r="F101" s="3"/>
      <c r="G101" s="17">
        <v>0</v>
      </c>
      <c r="H101" s="17"/>
      <c r="I101" s="17"/>
      <c r="J101" s="17"/>
      <c r="K101" s="17">
        <f>122018+2725959+2785618</f>
        <v>5633595</v>
      </c>
      <c r="L101" s="17"/>
      <c r="M101" s="17">
        <v>151774</v>
      </c>
      <c r="N101" s="17"/>
      <c r="O101" s="17">
        <v>11304892</v>
      </c>
      <c r="P101" s="17"/>
      <c r="Q101" s="17">
        <v>0</v>
      </c>
      <c r="R101" s="17"/>
      <c r="S101" s="17">
        <v>0</v>
      </c>
      <c r="T101" s="17"/>
      <c r="U101" s="17">
        <v>0</v>
      </c>
      <c r="V101" s="17"/>
      <c r="W101" s="17">
        <f>2570732+695051</f>
        <v>3265783</v>
      </c>
      <c r="X101" s="17"/>
      <c r="Y101" s="23">
        <f t="shared" si="6"/>
        <v>20356044</v>
      </c>
      <c r="Z101" s="17"/>
      <c r="AA101" s="17">
        <v>120000</v>
      </c>
      <c r="AB101" s="17"/>
      <c r="AC101" s="17">
        <v>0</v>
      </c>
      <c r="AD101" s="17"/>
      <c r="AE101" s="17">
        <v>0</v>
      </c>
      <c r="AF101" s="17"/>
      <c r="AG101" s="17">
        <v>0</v>
      </c>
      <c r="AH101" s="16" t="s">
        <v>190</v>
      </c>
      <c r="AJ101" s="16" t="s">
        <v>191</v>
      </c>
      <c r="AK101" s="17"/>
      <c r="AL101" s="17">
        <v>0</v>
      </c>
      <c r="AM101" s="17"/>
      <c r="AN101" s="17">
        <v>0</v>
      </c>
      <c r="AO101" s="17"/>
      <c r="AP101" s="17">
        <v>0</v>
      </c>
      <c r="AQ101" s="17"/>
      <c r="AR101" s="17">
        <v>0</v>
      </c>
      <c r="AS101" s="17"/>
      <c r="AT101" s="17">
        <v>0</v>
      </c>
      <c r="AU101" s="17"/>
      <c r="AV101" s="23">
        <f t="shared" si="7"/>
        <v>120000</v>
      </c>
      <c r="AW101" s="17"/>
      <c r="AX101" s="23">
        <f t="shared" ref="AX101:AX125" si="10">+AV101+Y101</f>
        <v>20476044</v>
      </c>
    </row>
    <row r="102" spans="1:50" s="16" customFormat="1" ht="12">
      <c r="A102" s="3" t="s">
        <v>192</v>
      </c>
      <c r="B102" s="3"/>
      <c r="C102" s="3" t="s">
        <v>193</v>
      </c>
      <c r="D102" s="3"/>
      <c r="E102" s="3">
        <v>48454</v>
      </c>
      <c r="F102" s="3"/>
      <c r="G102" s="17">
        <v>0</v>
      </c>
      <c r="H102" s="17"/>
      <c r="I102" s="17"/>
      <c r="J102" s="17"/>
      <c r="K102" s="17">
        <v>1664604</v>
      </c>
      <c r="L102" s="17"/>
      <c r="M102" s="17">
        <v>28332</v>
      </c>
      <c r="N102" s="17"/>
      <c r="O102" s="17">
        <v>100153</v>
      </c>
      <c r="P102" s="17"/>
      <c r="Q102" s="17">
        <v>0</v>
      </c>
      <c r="R102" s="17"/>
      <c r="S102" s="17">
        <v>0</v>
      </c>
      <c r="T102" s="17"/>
      <c r="U102" s="17">
        <v>16250</v>
      </c>
      <c r="V102" s="17"/>
      <c r="W102" s="17">
        <f>4032857+12750</f>
        <v>4045607</v>
      </c>
      <c r="X102" s="17"/>
      <c r="Y102" s="23">
        <f t="shared" si="6"/>
        <v>5854946</v>
      </c>
      <c r="Z102" s="17"/>
      <c r="AA102" s="17">
        <v>0</v>
      </c>
      <c r="AB102" s="17"/>
      <c r="AC102" s="17">
        <v>0</v>
      </c>
      <c r="AD102" s="17"/>
      <c r="AE102" s="17">
        <v>0</v>
      </c>
      <c r="AF102" s="17"/>
      <c r="AG102" s="17">
        <v>0</v>
      </c>
      <c r="AH102" s="16" t="s">
        <v>192</v>
      </c>
      <c r="AJ102" s="16" t="s">
        <v>193</v>
      </c>
      <c r="AK102" s="17"/>
      <c r="AL102" s="17">
        <v>0</v>
      </c>
      <c r="AM102" s="17"/>
      <c r="AN102" s="17">
        <v>0</v>
      </c>
      <c r="AO102" s="17"/>
      <c r="AP102" s="17">
        <v>0</v>
      </c>
      <c r="AQ102" s="17"/>
      <c r="AR102" s="17">
        <v>0</v>
      </c>
      <c r="AS102" s="17"/>
      <c r="AT102" s="17">
        <v>0</v>
      </c>
      <c r="AU102" s="17"/>
      <c r="AV102" s="23">
        <f t="shared" si="7"/>
        <v>0</v>
      </c>
      <c r="AW102" s="17"/>
      <c r="AX102" s="23">
        <f t="shared" si="10"/>
        <v>5854946</v>
      </c>
    </row>
    <row r="103" spans="1:50" s="16" customFormat="1" ht="12" hidden="1" customHeight="1">
      <c r="A103" s="3" t="s">
        <v>348</v>
      </c>
      <c r="B103" s="3"/>
      <c r="C103" s="3" t="s">
        <v>195</v>
      </c>
      <c r="D103" s="3"/>
      <c r="E103" s="3">
        <v>48546</v>
      </c>
      <c r="F103" s="3"/>
      <c r="G103" s="17">
        <v>0</v>
      </c>
      <c r="H103" s="17"/>
      <c r="I103" s="17"/>
      <c r="J103" s="17"/>
      <c r="K103" s="17">
        <v>0</v>
      </c>
      <c r="L103" s="17"/>
      <c r="M103" s="17">
        <v>0</v>
      </c>
      <c r="N103" s="17"/>
      <c r="O103" s="17">
        <v>0</v>
      </c>
      <c r="P103" s="17"/>
      <c r="Q103" s="17">
        <v>0</v>
      </c>
      <c r="R103" s="17"/>
      <c r="S103" s="17">
        <v>0</v>
      </c>
      <c r="T103" s="17"/>
      <c r="U103" s="17">
        <v>0</v>
      </c>
      <c r="V103" s="17"/>
      <c r="W103" s="17">
        <v>0</v>
      </c>
      <c r="X103" s="17"/>
      <c r="Y103" s="23">
        <f t="shared" si="6"/>
        <v>0</v>
      </c>
      <c r="Z103" s="17"/>
      <c r="AA103" s="17">
        <v>0</v>
      </c>
      <c r="AB103" s="17"/>
      <c r="AC103" s="17">
        <v>0</v>
      </c>
      <c r="AD103" s="17"/>
      <c r="AE103" s="17">
        <v>0</v>
      </c>
      <c r="AF103" s="17"/>
      <c r="AG103" s="17">
        <v>0</v>
      </c>
      <c r="AH103" s="16" t="s">
        <v>194</v>
      </c>
      <c r="AJ103" s="16" t="s">
        <v>195</v>
      </c>
      <c r="AK103" s="17"/>
      <c r="AL103" s="17">
        <v>0</v>
      </c>
      <c r="AM103" s="17"/>
      <c r="AN103" s="17">
        <v>0</v>
      </c>
      <c r="AO103" s="17"/>
      <c r="AP103" s="17">
        <v>0</v>
      </c>
      <c r="AQ103" s="17"/>
      <c r="AR103" s="17">
        <v>0</v>
      </c>
      <c r="AS103" s="17"/>
      <c r="AT103" s="17">
        <v>0</v>
      </c>
      <c r="AU103" s="17"/>
      <c r="AV103" s="23">
        <f t="shared" si="7"/>
        <v>0</v>
      </c>
      <c r="AW103" s="17"/>
      <c r="AX103" s="23">
        <f t="shared" si="10"/>
        <v>0</v>
      </c>
    </row>
    <row r="104" spans="1:50" s="16" customFormat="1" ht="12">
      <c r="A104" s="3" t="s">
        <v>196</v>
      </c>
      <c r="B104" s="3"/>
      <c r="C104" s="3" t="s">
        <v>197</v>
      </c>
      <c r="D104" s="3"/>
      <c r="E104" s="3">
        <v>48603</v>
      </c>
      <c r="F104" s="3"/>
      <c r="G104" s="17">
        <v>0</v>
      </c>
      <c r="H104" s="17"/>
      <c r="I104" s="17"/>
      <c r="J104" s="17"/>
      <c r="K104" s="17">
        <v>1398372</v>
      </c>
      <c r="L104" s="17"/>
      <c r="M104" s="17">
        <v>8805</v>
      </c>
      <c r="N104" s="17"/>
      <c r="O104" s="17">
        <v>9934356</v>
      </c>
      <c r="P104" s="17"/>
      <c r="Q104" s="17">
        <v>1753</v>
      </c>
      <c r="R104" s="17"/>
      <c r="S104" s="17">
        <v>0</v>
      </c>
      <c r="T104" s="17"/>
      <c r="U104" s="17">
        <v>1250</v>
      </c>
      <c r="V104" s="17"/>
      <c r="W104" s="17">
        <f>120000+143096</f>
        <v>263096</v>
      </c>
      <c r="X104" s="17"/>
      <c r="Y104" s="23">
        <f t="shared" si="6"/>
        <v>11607632</v>
      </c>
      <c r="Z104" s="17"/>
      <c r="AA104" s="17">
        <v>0</v>
      </c>
      <c r="AB104" s="17"/>
      <c r="AC104" s="17">
        <v>0</v>
      </c>
      <c r="AD104" s="17"/>
      <c r="AE104" s="17">
        <v>0</v>
      </c>
      <c r="AF104" s="17"/>
      <c r="AG104" s="17">
        <v>0</v>
      </c>
      <c r="AH104" s="16" t="s">
        <v>196</v>
      </c>
      <c r="AJ104" s="16" t="s">
        <v>197</v>
      </c>
      <c r="AK104" s="17"/>
      <c r="AL104" s="17">
        <v>0</v>
      </c>
      <c r="AM104" s="17"/>
      <c r="AN104" s="17">
        <v>0</v>
      </c>
      <c r="AO104" s="17"/>
      <c r="AP104" s="17">
        <v>0</v>
      </c>
      <c r="AQ104" s="17"/>
      <c r="AR104" s="17">
        <v>0</v>
      </c>
      <c r="AS104" s="17"/>
      <c r="AT104" s="17">
        <v>0</v>
      </c>
      <c r="AU104" s="17"/>
      <c r="AV104" s="23">
        <f t="shared" si="7"/>
        <v>0</v>
      </c>
      <c r="AW104" s="17"/>
      <c r="AX104" s="23">
        <f t="shared" si="10"/>
        <v>11607632</v>
      </c>
    </row>
    <row r="105" spans="1:50" s="16" customFormat="1" ht="12" hidden="1">
      <c r="A105" s="3" t="s">
        <v>347</v>
      </c>
      <c r="B105" s="3"/>
      <c r="C105" s="3" t="s">
        <v>212</v>
      </c>
      <c r="D105" s="3"/>
      <c r="E105" s="3"/>
      <c r="F105" s="3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23">
        <f t="shared" si="6"/>
        <v>0</v>
      </c>
      <c r="Z105" s="17"/>
      <c r="AA105" s="17"/>
      <c r="AB105" s="17"/>
      <c r="AC105" s="17"/>
      <c r="AD105" s="17"/>
      <c r="AE105" s="17"/>
      <c r="AF105" s="17"/>
      <c r="AG105" s="17"/>
      <c r="AH105" s="3" t="s">
        <v>347</v>
      </c>
      <c r="AI105" s="3"/>
      <c r="AJ105" s="3" t="s">
        <v>212</v>
      </c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23">
        <f>SUM(AA105:AT105)</f>
        <v>0</v>
      </c>
      <c r="AW105" s="17"/>
      <c r="AX105" s="23">
        <f t="shared" si="10"/>
        <v>0</v>
      </c>
    </row>
    <row r="106" spans="1:50" s="16" customFormat="1" ht="12">
      <c r="A106" s="3" t="s">
        <v>198</v>
      </c>
      <c r="B106" s="3"/>
      <c r="C106" s="3" t="s">
        <v>199</v>
      </c>
      <c r="D106" s="3"/>
      <c r="E106" s="3">
        <v>48660</v>
      </c>
      <c r="F106" s="3"/>
      <c r="G106" s="17">
        <v>0</v>
      </c>
      <c r="H106" s="17"/>
      <c r="I106" s="17"/>
      <c r="J106" s="17"/>
      <c r="K106" s="17">
        <v>5019999</v>
      </c>
      <c r="L106" s="17"/>
      <c r="M106" s="17">
        <v>45306</v>
      </c>
      <c r="N106" s="17"/>
      <c r="O106" s="17">
        <v>17718308</v>
      </c>
      <c r="P106" s="17"/>
      <c r="Q106" s="17">
        <v>0</v>
      </c>
      <c r="R106" s="17"/>
      <c r="S106" s="17">
        <v>0</v>
      </c>
      <c r="T106" s="17"/>
      <c r="U106" s="17">
        <v>5145</v>
      </c>
      <c r="V106" s="17"/>
      <c r="W106" s="17">
        <f>269242+7228065+24876</f>
        <v>7522183</v>
      </c>
      <c r="X106" s="17"/>
      <c r="Y106" s="23">
        <f t="shared" si="6"/>
        <v>30310941</v>
      </c>
      <c r="Z106" s="17"/>
      <c r="AA106" s="17">
        <v>68973</v>
      </c>
      <c r="AB106" s="17"/>
      <c r="AC106" s="17">
        <v>0</v>
      </c>
      <c r="AD106" s="17"/>
      <c r="AE106" s="17">
        <v>0</v>
      </c>
      <c r="AF106" s="17"/>
      <c r="AG106" s="17">
        <v>0</v>
      </c>
      <c r="AH106" s="16" t="s">
        <v>198</v>
      </c>
      <c r="AJ106" s="16" t="s">
        <v>199</v>
      </c>
      <c r="AK106" s="17"/>
      <c r="AL106" s="17">
        <v>0</v>
      </c>
      <c r="AM106" s="17"/>
      <c r="AN106" s="17">
        <v>13000</v>
      </c>
      <c r="AO106" s="17"/>
      <c r="AP106" s="17">
        <v>0</v>
      </c>
      <c r="AQ106" s="17"/>
      <c r="AR106" s="17">
        <v>0</v>
      </c>
      <c r="AS106" s="17"/>
      <c r="AT106" s="17">
        <v>0</v>
      </c>
      <c r="AU106" s="17"/>
      <c r="AV106" s="23">
        <f t="shared" si="7"/>
        <v>81973</v>
      </c>
      <c r="AW106" s="17"/>
      <c r="AX106" s="23">
        <f t="shared" si="10"/>
        <v>30392914</v>
      </c>
    </row>
    <row r="107" spans="1:50" s="16" customFormat="1" ht="12">
      <c r="A107" s="3" t="s">
        <v>200</v>
      </c>
      <c r="B107" s="3"/>
      <c r="C107" s="3" t="s">
        <v>201</v>
      </c>
      <c r="D107" s="3"/>
      <c r="E107" s="3">
        <v>125252</v>
      </c>
      <c r="F107" s="3"/>
      <c r="G107" s="17">
        <v>0</v>
      </c>
      <c r="H107" s="17"/>
      <c r="I107" s="17"/>
      <c r="J107" s="17"/>
      <c r="K107" s="17">
        <f>14289+1875434+1566366</f>
        <v>3456089</v>
      </c>
      <c r="L107" s="17"/>
      <c r="M107" s="17">
        <v>35158</v>
      </c>
      <c r="N107" s="17"/>
      <c r="O107" s="17">
        <f>4191632+5980</f>
        <v>4197612</v>
      </c>
      <c r="P107" s="17"/>
      <c r="Q107" s="17">
        <v>14878</v>
      </c>
      <c r="R107" s="17"/>
      <c r="S107" s="17">
        <v>0</v>
      </c>
      <c r="T107" s="17"/>
      <c r="U107" s="17">
        <v>0</v>
      </c>
      <c r="V107" s="17"/>
      <c r="W107" s="17">
        <f>2494905+746296</f>
        <v>3241201</v>
      </c>
      <c r="X107" s="17"/>
      <c r="Y107" s="23">
        <f t="shared" si="6"/>
        <v>10944938</v>
      </c>
      <c r="Z107" s="17"/>
      <c r="AA107" s="17">
        <v>0</v>
      </c>
      <c r="AB107" s="17"/>
      <c r="AC107" s="17">
        <v>0</v>
      </c>
      <c r="AD107" s="17"/>
      <c r="AE107" s="17">
        <v>0</v>
      </c>
      <c r="AF107" s="17"/>
      <c r="AG107" s="17">
        <v>0</v>
      </c>
      <c r="AH107" s="16" t="s">
        <v>200</v>
      </c>
      <c r="AJ107" s="16" t="s">
        <v>201</v>
      </c>
      <c r="AK107" s="17"/>
      <c r="AL107" s="17">
        <v>0</v>
      </c>
      <c r="AM107" s="17"/>
      <c r="AN107" s="17">
        <v>0</v>
      </c>
      <c r="AO107" s="17"/>
      <c r="AP107" s="17">
        <v>0</v>
      </c>
      <c r="AQ107" s="17"/>
      <c r="AR107" s="17">
        <v>0</v>
      </c>
      <c r="AS107" s="17"/>
      <c r="AT107" s="17">
        <v>0</v>
      </c>
      <c r="AU107" s="17"/>
      <c r="AV107" s="23">
        <f t="shared" si="7"/>
        <v>0</v>
      </c>
      <c r="AW107" s="17"/>
      <c r="AX107" s="23">
        <f t="shared" si="10"/>
        <v>10944938</v>
      </c>
    </row>
    <row r="108" spans="1:50" s="16" customFormat="1" ht="12">
      <c r="A108" s="3" t="s">
        <v>326</v>
      </c>
      <c r="B108" s="3"/>
      <c r="C108" s="3" t="s">
        <v>218</v>
      </c>
      <c r="D108" s="3"/>
      <c r="E108" s="3">
        <v>123257</v>
      </c>
      <c r="F108" s="3"/>
      <c r="G108" s="17">
        <v>0</v>
      </c>
      <c r="H108" s="17"/>
      <c r="I108" s="17"/>
      <c r="J108" s="17"/>
      <c r="K108" s="17">
        <f>1146+3710355+1303233</f>
        <v>5014734</v>
      </c>
      <c r="L108" s="17"/>
      <c r="M108" s="17">
        <v>4502</v>
      </c>
      <c r="N108" s="17"/>
      <c r="O108" s="17">
        <v>8582644</v>
      </c>
      <c r="P108" s="17"/>
      <c r="Q108" s="17">
        <v>0</v>
      </c>
      <c r="R108" s="17"/>
      <c r="S108" s="17">
        <v>0</v>
      </c>
      <c r="T108" s="17"/>
      <c r="U108" s="17">
        <v>23253</v>
      </c>
      <c r="V108" s="17"/>
      <c r="W108" s="17">
        <f>4125+13266+3668596+900174</f>
        <v>4586161</v>
      </c>
      <c r="X108" s="17"/>
      <c r="Y108" s="23">
        <f t="shared" si="6"/>
        <v>18211294</v>
      </c>
      <c r="Z108" s="17"/>
      <c r="AA108" s="17">
        <v>7618</v>
      </c>
      <c r="AB108" s="17"/>
      <c r="AC108" s="17">
        <v>0</v>
      </c>
      <c r="AD108" s="17"/>
      <c r="AE108" s="17">
        <v>0</v>
      </c>
      <c r="AF108" s="17"/>
      <c r="AG108" s="17">
        <v>0</v>
      </c>
      <c r="AH108" s="16" t="s">
        <v>326</v>
      </c>
      <c r="AJ108" s="16" t="s">
        <v>218</v>
      </c>
      <c r="AK108" s="17"/>
      <c r="AL108" s="17">
        <v>0</v>
      </c>
      <c r="AM108" s="17"/>
      <c r="AN108" s="17">
        <v>0</v>
      </c>
      <c r="AO108" s="17"/>
      <c r="AP108" s="17">
        <v>0</v>
      </c>
      <c r="AQ108" s="17"/>
      <c r="AR108" s="17">
        <v>0</v>
      </c>
      <c r="AS108" s="17"/>
      <c r="AT108" s="17">
        <f>791108-600391</f>
        <v>190717</v>
      </c>
      <c r="AU108" s="17"/>
      <c r="AV108" s="23">
        <f t="shared" ref="AV108:AV109" si="11">SUM(AA108:AT108)</f>
        <v>198335</v>
      </c>
      <c r="AW108" s="17"/>
      <c r="AX108" s="23">
        <f t="shared" si="10"/>
        <v>18409629</v>
      </c>
    </row>
    <row r="109" spans="1:50" s="16" customFormat="1" ht="12">
      <c r="A109" s="3" t="s">
        <v>373</v>
      </c>
      <c r="B109" s="3"/>
      <c r="C109" s="3" t="s">
        <v>172</v>
      </c>
      <c r="D109" s="3"/>
      <c r="E109" s="3"/>
      <c r="F109" s="3"/>
      <c r="G109" s="17">
        <v>0</v>
      </c>
      <c r="H109" s="17"/>
      <c r="I109" s="17"/>
      <c r="J109" s="17"/>
      <c r="K109" s="17">
        <f>7000+3103235+214373</f>
        <v>3324608</v>
      </c>
      <c r="L109" s="17"/>
      <c r="M109" s="17">
        <v>34476</v>
      </c>
      <c r="N109" s="17"/>
      <c r="O109" s="17">
        <v>16499601</v>
      </c>
      <c r="P109" s="17"/>
      <c r="Q109" s="17">
        <v>9274</v>
      </c>
      <c r="R109" s="17"/>
      <c r="S109" s="17">
        <v>0</v>
      </c>
      <c r="T109" s="17"/>
      <c r="U109" s="17">
        <v>0</v>
      </c>
      <c r="V109" s="17"/>
      <c r="W109" s="17">
        <f>477262+71186</f>
        <v>548448</v>
      </c>
      <c r="X109" s="17"/>
      <c r="Y109" s="23">
        <f t="shared" si="6"/>
        <v>20416407</v>
      </c>
      <c r="Z109" s="17"/>
      <c r="AA109" s="17">
        <v>5746</v>
      </c>
      <c r="AB109" s="17"/>
      <c r="AC109" s="17">
        <v>0</v>
      </c>
      <c r="AD109" s="17"/>
      <c r="AE109" s="17">
        <v>0</v>
      </c>
      <c r="AF109" s="17"/>
      <c r="AG109" s="17">
        <v>0</v>
      </c>
      <c r="AH109" s="16" t="s">
        <v>373</v>
      </c>
      <c r="AJ109" s="16" t="s">
        <v>172</v>
      </c>
      <c r="AK109" s="17"/>
      <c r="AL109" s="17">
        <v>0</v>
      </c>
      <c r="AM109" s="17"/>
      <c r="AN109" s="17">
        <v>0</v>
      </c>
      <c r="AO109" s="17"/>
      <c r="AP109" s="17">
        <v>0</v>
      </c>
      <c r="AQ109" s="17"/>
      <c r="AR109" s="17">
        <v>0</v>
      </c>
      <c r="AS109" s="17"/>
      <c r="AT109" s="17">
        <v>0</v>
      </c>
      <c r="AU109" s="17"/>
      <c r="AV109" s="23">
        <f t="shared" si="11"/>
        <v>5746</v>
      </c>
      <c r="AW109" s="17"/>
      <c r="AX109" s="23">
        <f t="shared" si="10"/>
        <v>20422153</v>
      </c>
    </row>
    <row r="110" spans="1:50" s="16" customFormat="1" ht="12">
      <c r="A110" s="3" t="s">
        <v>176</v>
      </c>
      <c r="B110" s="3"/>
      <c r="C110" s="3" t="s">
        <v>242</v>
      </c>
      <c r="D110" s="3"/>
      <c r="E110" s="3">
        <v>124297</v>
      </c>
      <c r="F110" s="3"/>
      <c r="G110" s="17">
        <v>0</v>
      </c>
      <c r="H110" s="17"/>
      <c r="I110" s="17"/>
      <c r="J110" s="17"/>
      <c r="K110" s="17">
        <v>9660251</v>
      </c>
      <c r="L110" s="17"/>
      <c r="M110" s="17">
        <v>34483</v>
      </c>
      <c r="N110" s="17"/>
      <c r="O110" s="17">
        <v>15280632</v>
      </c>
      <c r="P110" s="17"/>
      <c r="Q110" s="17">
        <v>0</v>
      </c>
      <c r="R110" s="17"/>
      <c r="S110" s="17">
        <v>0</v>
      </c>
      <c r="T110" s="17"/>
      <c r="U110" s="17">
        <v>25371</v>
      </c>
      <c r="V110" s="17"/>
      <c r="W110" s="17">
        <f>333675+55853</f>
        <v>389528</v>
      </c>
      <c r="X110" s="17"/>
      <c r="Y110" s="23">
        <f t="shared" si="6"/>
        <v>25390265</v>
      </c>
      <c r="Z110" s="17"/>
      <c r="AA110" s="17">
        <v>58962</v>
      </c>
      <c r="AB110" s="17"/>
      <c r="AC110" s="17">
        <v>0</v>
      </c>
      <c r="AD110" s="17"/>
      <c r="AE110" s="17">
        <v>0</v>
      </c>
      <c r="AF110" s="17"/>
      <c r="AG110" s="17">
        <v>0</v>
      </c>
      <c r="AH110" s="16" t="s">
        <v>176</v>
      </c>
      <c r="AJ110" s="3" t="s">
        <v>242</v>
      </c>
      <c r="AK110" s="17"/>
      <c r="AL110" s="17">
        <v>0</v>
      </c>
      <c r="AM110" s="17"/>
      <c r="AN110" s="17">
        <v>0</v>
      </c>
      <c r="AO110" s="17"/>
      <c r="AP110" s="17">
        <v>0</v>
      </c>
      <c r="AQ110" s="17"/>
      <c r="AR110" s="17">
        <v>0</v>
      </c>
      <c r="AS110" s="17"/>
      <c r="AT110" s="17">
        <v>0</v>
      </c>
      <c r="AU110" s="17"/>
      <c r="AV110" s="23">
        <f t="shared" si="7"/>
        <v>58962</v>
      </c>
      <c r="AW110" s="17"/>
      <c r="AX110" s="23">
        <f t="shared" si="10"/>
        <v>25449227</v>
      </c>
    </row>
    <row r="111" spans="1:50" s="16" customFormat="1" ht="12">
      <c r="A111" s="3" t="s">
        <v>315</v>
      </c>
      <c r="B111" s="3"/>
      <c r="C111" s="3" t="s">
        <v>320</v>
      </c>
      <c r="D111" s="3"/>
      <c r="E111" s="3">
        <v>123521</v>
      </c>
      <c r="F111" s="3"/>
      <c r="G111" s="17">
        <v>0</v>
      </c>
      <c r="H111" s="17"/>
      <c r="I111" s="17"/>
      <c r="J111" s="17"/>
      <c r="K111" s="17">
        <v>2781434</v>
      </c>
      <c r="L111" s="17"/>
      <c r="M111" s="17">
        <v>2256</v>
      </c>
      <c r="N111" s="17"/>
      <c r="O111" s="17">
        <v>833312</v>
      </c>
      <c r="P111" s="17"/>
      <c r="Q111" s="17">
        <v>0</v>
      </c>
      <c r="R111" s="17"/>
      <c r="S111" s="17">
        <v>0</v>
      </c>
      <c r="T111" s="17"/>
      <c r="U111" s="17">
        <v>545</v>
      </c>
      <c r="V111" s="17"/>
      <c r="W111" s="17">
        <f>32899+5172306+30852</f>
        <v>5236057</v>
      </c>
      <c r="X111" s="17"/>
      <c r="Y111" s="23">
        <f t="shared" si="6"/>
        <v>8853604</v>
      </c>
      <c r="Z111" s="17"/>
      <c r="AA111" s="17">
        <v>48855</v>
      </c>
      <c r="AB111" s="17"/>
      <c r="AC111" s="17">
        <v>0</v>
      </c>
      <c r="AD111" s="17"/>
      <c r="AE111" s="17">
        <v>0</v>
      </c>
      <c r="AF111" s="17"/>
      <c r="AG111" s="17">
        <v>0</v>
      </c>
      <c r="AH111" s="16" t="s">
        <v>315</v>
      </c>
      <c r="AJ111" s="3" t="s">
        <v>320</v>
      </c>
      <c r="AK111" s="17"/>
      <c r="AL111" s="17">
        <v>0</v>
      </c>
      <c r="AM111" s="17"/>
      <c r="AN111" s="17">
        <v>0</v>
      </c>
      <c r="AO111" s="17"/>
      <c r="AP111" s="17">
        <v>0</v>
      </c>
      <c r="AQ111" s="17"/>
      <c r="AR111" s="17">
        <v>0</v>
      </c>
      <c r="AS111" s="17"/>
      <c r="AT111" s="17">
        <v>0</v>
      </c>
      <c r="AU111" s="17"/>
      <c r="AV111" s="23">
        <f t="shared" si="7"/>
        <v>48855</v>
      </c>
      <c r="AW111" s="17"/>
      <c r="AX111" s="23">
        <f t="shared" si="10"/>
        <v>8902459</v>
      </c>
    </row>
    <row r="112" spans="1:50" s="16" customFormat="1" ht="12">
      <c r="A112" s="3" t="s">
        <v>202</v>
      </c>
      <c r="B112" s="3"/>
      <c r="C112" s="3" t="s">
        <v>203</v>
      </c>
      <c r="D112" s="3"/>
      <c r="E112" s="3">
        <v>125674</v>
      </c>
      <c r="F112" s="3"/>
      <c r="G112" s="17">
        <v>0</v>
      </c>
      <c r="H112" s="17"/>
      <c r="I112" s="17">
        <v>0</v>
      </c>
      <c r="J112" s="17"/>
      <c r="K112" s="17">
        <v>2496978</v>
      </c>
      <c r="L112" s="17"/>
      <c r="M112" s="17">
        <v>1468</v>
      </c>
      <c r="N112" s="17"/>
      <c r="O112" s="17">
        <v>1206207</v>
      </c>
      <c r="P112" s="17"/>
      <c r="Q112" s="17">
        <v>0</v>
      </c>
      <c r="R112" s="17"/>
      <c r="S112" s="17">
        <v>0</v>
      </c>
      <c r="T112" s="17"/>
      <c r="U112" s="17">
        <v>893</v>
      </c>
      <c r="V112" s="17"/>
      <c r="W112" s="17">
        <f>2651003+49630</f>
        <v>2700633</v>
      </c>
      <c r="X112" s="17"/>
      <c r="Y112" s="23">
        <f t="shared" si="6"/>
        <v>6406179</v>
      </c>
      <c r="Z112" s="17"/>
      <c r="AA112" s="17">
        <v>0</v>
      </c>
      <c r="AB112" s="17"/>
      <c r="AC112" s="17">
        <v>0</v>
      </c>
      <c r="AD112" s="17"/>
      <c r="AE112" s="17">
        <v>0</v>
      </c>
      <c r="AF112" s="17"/>
      <c r="AG112" s="17">
        <v>0</v>
      </c>
      <c r="AH112" s="16" t="s">
        <v>202</v>
      </c>
      <c r="AJ112" s="16" t="s">
        <v>203</v>
      </c>
      <c r="AK112" s="17"/>
      <c r="AL112" s="17">
        <v>0</v>
      </c>
      <c r="AM112" s="17"/>
      <c r="AN112" s="17">
        <v>20000</v>
      </c>
      <c r="AO112" s="17"/>
      <c r="AP112" s="17">
        <v>0</v>
      </c>
      <c r="AQ112" s="17"/>
      <c r="AR112" s="17">
        <v>0</v>
      </c>
      <c r="AS112" s="17"/>
      <c r="AT112" s="17">
        <v>0</v>
      </c>
      <c r="AU112" s="17"/>
      <c r="AV112" s="23">
        <f t="shared" si="7"/>
        <v>20000</v>
      </c>
      <c r="AW112" s="17"/>
      <c r="AX112" s="23">
        <f t="shared" si="10"/>
        <v>6426179</v>
      </c>
    </row>
    <row r="113" spans="1:50" s="16" customFormat="1" ht="12">
      <c r="A113" s="3" t="s">
        <v>204</v>
      </c>
      <c r="B113" s="3"/>
      <c r="C113" s="3" t="s">
        <v>205</v>
      </c>
      <c r="D113" s="3"/>
      <c r="E113" s="3">
        <v>49072</v>
      </c>
      <c r="F113" s="3"/>
      <c r="G113" s="17">
        <v>0</v>
      </c>
      <c r="H113" s="17"/>
      <c r="I113" s="17">
        <v>0</v>
      </c>
      <c r="J113" s="17"/>
      <c r="K113" s="17">
        <v>975883</v>
      </c>
      <c r="L113" s="17"/>
      <c r="M113" s="17">
        <v>0</v>
      </c>
      <c r="N113" s="17"/>
      <c r="O113" s="17">
        <v>33190</v>
      </c>
      <c r="P113" s="17"/>
      <c r="Q113" s="17">
        <v>0</v>
      </c>
      <c r="R113" s="17"/>
      <c r="S113" s="17">
        <v>0</v>
      </c>
      <c r="T113" s="17"/>
      <c r="U113" s="17">
        <v>2434</v>
      </c>
      <c r="V113" s="17"/>
      <c r="W113" s="17">
        <f>2408867+61763+345+47812</f>
        <v>2518787</v>
      </c>
      <c r="X113" s="17"/>
      <c r="Y113" s="23">
        <f t="shared" si="6"/>
        <v>3530294</v>
      </c>
      <c r="Z113" s="17"/>
      <c r="AA113" s="17">
        <v>40000</v>
      </c>
      <c r="AB113" s="17"/>
      <c r="AC113" s="17">
        <v>0</v>
      </c>
      <c r="AD113" s="17"/>
      <c r="AE113" s="17">
        <v>0</v>
      </c>
      <c r="AF113" s="17"/>
      <c r="AG113" s="17">
        <v>0</v>
      </c>
      <c r="AH113" s="16" t="s">
        <v>204</v>
      </c>
      <c r="AJ113" s="16" t="s">
        <v>205</v>
      </c>
      <c r="AK113" s="17"/>
      <c r="AL113" s="17">
        <v>0</v>
      </c>
      <c r="AM113" s="17"/>
      <c r="AN113" s="17">
        <v>0</v>
      </c>
      <c r="AO113" s="17"/>
      <c r="AP113" s="17">
        <v>0</v>
      </c>
      <c r="AQ113" s="17"/>
      <c r="AR113" s="17">
        <v>0</v>
      </c>
      <c r="AS113" s="17"/>
      <c r="AT113" s="17">
        <v>0</v>
      </c>
      <c r="AU113" s="17"/>
      <c r="AV113" s="23">
        <f t="shared" si="7"/>
        <v>40000</v>
      </c>
      <c r="AW113" s="17"/>
      <c r="AX113" s="23">
        <f t="shared" si="10"/>
        <v>3570294</v>
      </c>
    </row>
    <row r="114" spans="1:50" s="16" customFormat="1" ht="12">
      <c r="A114" s="3" t="s">
        <v>206</v>
      </c>
      <c r="B114" s="3"/>
      <c r="C114" s="3" t="s">
        <v>207</v>
      </c>
      <c r="D114" s="3"/>
      <c r="E114" s="3">
        <v>49163</v>
      </c>
      <c r="F114" s="3"/>
      <c r="G114" s="17">
        <v>0</v>
      </c>
      <c r="H114" s="17"/>
      <c r="I114" s="17">
        <v>0</v>
      </c>
      <c r="J114" s="17"/>
      <c r="K114" s="17">
        <v>1424939</v>
      </c>
      <c r="L114" s="17"/>
      <c r="M114" s="17">
        <v>1029</v>
      </c>
      <c r="N114" s="17"/>
      <c r="O114" s="17">
        <v>4795242</v>
      </c>
      <c r="P114" s="17"/>
      <c r="Q114" s="17">
        <v>0</v>
      </c>
      <c r="R114" s="17"/>
      <c r="S114" s="17">
        <v>0</v>
      </c>
      <c r="T114" s="17"/>
      <c r="U114" s="17">
        <v>2850</v>
      </c>
      <c r="V114" s="17"/>
      <c r="W114" s="17">
        <f>2378887+954</f>
        <v>2379841</v>
      </c>
      <c r="X114" s="17"/>
      <c r="Y114" s="23">
        <f t="shared" si="6"/>
        <v>8603901</v>
      </c>
      <c r="Z114" s="17"/>
      <c r="AA114" s="17">
        <v>0</v>
      </c>
      <c r="AB114" s="17"/>
      <c r="AC114" s="17">
        <v>0</v>
      </c>
      <c r="AD114" s="17"/>
      <c r="AE114" s="17">
        <v>0</v>
      </c>
      <c r="AF114" s="17"/>
      <c r="AG114" s="17">
        <v>0</v>
      </c>
      <c r="AH114" s="16" t="s">
        <v>206</v>
      </c>
      <c r="AJ114" s="16" t="s">
        <v>207</v>
      </c>
      <c r="AK114" s="17"/>
      <c r="AL114" s="17">
        <v>0</v>
      </c>
      <c r="AM114" s="17"/>
      <c r="AN114" s="17">
        <v>0</v>
      </c>
      <c r="AO114" s="17"/>
      <c r="AP114" s="17">
        <v>0</v>
      </c>
      <c r="AQ114" s="17"/>
      <c r="AR114" s="17">
        <v>0</v>
      </c>
      <c r="AS114" s="17"/>
      <c r="AT114" s="17">
        <v>0</v>
      </c>
      <c r="AU114" s="17"/>
      <c r="AV114" s="23">
        <f t="shared" si="7"/>
        <v>0</v>
      </c>
      <c r="AW114" s="17"/>
      <c r="AX114" s="23">
        <f t="shared" si="10"/>
        <v>8603901</v>
      </c>
    </row>
    <row r="115" spans="1:50" s="16" customFormat="1" ht="12" hidden="1">
      <c r="A115" s="3" t="s">
        <v>349</v>
      </c>
      <c r="B115" s="3"/>
      <c r="C115" s="3" t="s">
        <v>209</v>
      </c>
      <c r="D115" s="3"/>
      <c r="E115" s="3">
        <v>49254</v>
      </c>
      <c r="F115" s="3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23">
        <f t="shared" si="6"/>
        <v>0</v>
      </c>
      <c r="Z115" s="17"/>
      <c r="AA115" s="17"/>
      <c r="AB115" s="17"/>
      <c r="AC115" s="17"/>
      <c r="AD115" s="17"/>
      <c r="AE115" s="17"/>
      <c r="AF115" s="17"/>
      <c r="AG115" s="17"/>
      <c r="AH115" s="16" t="s">
        <v>208</v>
      </c>
      <c r="AJ115" s="16" t="s">
        <v>209</v>
      </c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23">
        <f t="shared" si="7"/>
        <v>0</v>
      </c>
      <c r="AW115" s="17"/>
      <c r="AX115" s="23">
        <f t="shared" si="10"/>
        <v>0</v>
      </c>
    </row>
    <row r="116" spans="1:50" s="16" customFormat="1" ht="12">
      <c r="A116" s="3" t="s">
        <v>210</v>
      </c>
      <c r="B116" s="3"/>
      <c r="C116" s="3" t="s">
        <v>211</v>
      </c>
      <c r="D116" s="3"/>
      <c r="E116" s="3">
        <v>49304</v>
      </c>
      <c r="F116" s="3"/>
      <c r="G116" s="17">
        <v>0</v>
      </c>
      <c r="H116" s="17"/>
      <c r="I116" s="17">
        <v>0</v>
      </c>
      <c r="J116" s="17"/>
      <c r="K116" s="17">
        <f>52204+1006499+2701680</f>
        <v>3760383</v>
      </c>
      <c r="L116" s="17"/>
      <c r="M116" s="17">
        <v>26192</v>
      </c>
      <c r="N116" s="17"/>
      <c r="O116" s="17">
        <v>2058235</v>
      </c>
      <c r="P116" s="17"/>
      <c r="Q116" s="17">
        <v>2255</v>
      </c>
      <c r="R116" s="17"/>
      <c r="S116" s="17">
        <v>0</v>
      </c>
      <c r="T116" s="17"/>
      <c r="U116" s="17">
        <v>9256</v>
      </c>
      <c r="V116" s="17"/>
      <c r="W116" s="17">
        <f>76055+157840+10190</f>
        <v>244085</v>
      </c>
      <c r="X116" s="17"/>
      <c r="Y116" s="23">
        <f t="shared" si="6"/>
        <v>6100406</v>
      </c>
      <c r="Z116" s="17"/>
      <c r="AA116" s="17">
        <v>0</v>
      </c>
      <c r="AB116" s="17"/>
      <c r="AC116" s="17">
        <v>0</v>
      </c>
      <c r="AD116" s="17"/>
      <c r="AE116" s="17">
        <v>0</v>
      </c>
      <c r="AF116" s="17"/>
      <c r="AG116" s="17">
        <v>0</v>
      </c>
      <c r="AH116" s="16" t="s">
        <v>210</v>
      </c>
      <c r="AJ116" s="16" t="s">
        <v>211</v>
      </c>
      <c r="AK116" s="17"/>
      <c r="AL116" s="17">
        <v>46497</v>
      </c>
      <c r="AM116" s="17"/>
      <c r="AN116" s="17">
        <v>0</v>
      </c>
      <c r="AO116" s="17"/>
      <c r="AP116" s="17">
        <v>0</v>
      </c>
      <c r="AQ116" s="17"/>
      <c r="AR116" s="17">
        <v>0</v>
      </c>
      <c r="AS116" s="17"/>
      <c r="AT116" s="17">
        <v>0</v>
      </c>
      <c r="AU116" s="17"/>
      <c r="AV116" s="23">
        <f t="shared" si="7"/>
        <v>46497</v>
      </c>
      <c r="AW116" s="17"/>
      <c r="AX116" s="23">
        <f t="shared" si="10"/>
        <v>6146903</v>
      </c>
    </row>
    <row r="117" spans="1:50" s="16" customFormat="1" ht="12">
      <c r="A117" s="3" t="s">
        <v>213</v>
      </c>
      <c r="B117" s="3"/>
      <c r="C117" s="3" t="s">
        <v>214</v>
      </c>
      <c r="D117" s="3"/>
      <c r="E117" s="3">
        <v>138222</v>
      </c>
      <c r="F117" s="3"/>
      <c r="G117" s="17">
        <v>0</v>
      </c>
      <c r="H117" s="17"/>
      <c r="I117" s="17">
        <v>0</v>
      </c>
      <c r="J117" s="17"/>
      <c r="K117" s="17">
        <f>1971529+1291654</f>
        <v>3263183</v>
      </c>
      <c r="L117" s="17"/>
      <c r="M117" s="17">
        <v>16396</v>
      </c>
      <c r="N117" s="17"/>
      <c r="O117" s="17">
        <v>5444095</v>
      </c>
      <c r="P117" s="17"/>
      <c r="Q117" s="17">
        <v>0</v>
      </c>
      <c r="R117" s="17"/>
      <c r="S117" s="17">
        <v>0</v>
      </c>
      <c r="T117" s="17"/>
      <c r="U117" s="17">
        <v>27639</v>
      </c>
      <c r="V117" s="17"/>
      <c r="W117" s="17">
        <f>330973+156292+147400</f>
        <v>634665</v>
      </c>
      <c r="X117" s="17"/>
      <c r="Y117" s="23">
        <f t="shared" si="6"/>
        <v>9385978</v>
      </c>
      <c r="Z117" s="17"/>
      <c r="AA117" s="17">
        <v>0</v>
      </c>
      <c r="AB117" s="17"/>
      <c r="AC117" s="17">
        <v>0</v>
      </c>
      <c r="AD117" s="17"/>
      <c r="AE117" s="17">
        <v>0</v>
      </c>
      <c r="AF117" s="17"/>
      <c r="AG117" s="17">
        <v>0</v>
      </c>
      <c r="AH117" s="16" t="s">
        <v>213</v>
      </c>
      <c r="AJ117" s="16" t="s">
        <v>214</v>
      </c>
      <c r="AK117" s="17"/>
      <c r="AL117" s="17">
        <v>0</v>
      </c>
      <c r="AM117" s="17"/>
      <c r="AN117" s="17">
        <v>710</v>
      </c>
      <c r="AO117" s="17"/>
      <c r="AP117" s="17">
        <v>0</v>
      </c>
      <c r="AQ117" s="17"/>
      <c r="AR117" s="17">
        <v>0</v>
      </c>
      <c r="AS117" s="17"/>
      <c r="AT117" s="17">
        <v>0</v>
      </c>
      <c r="AU117" s="17"/>
      <c r="AV117" s="23">
        <f t="shared" si="7"/>
        <v>710</v>
      </c>
      <c r="AW117" s="17"/>
      <c r="AX117" s="23">
        <f t="shared" si="10"/>
        <v>9386688</v>
      </c>
    </row>
    <row r="118" spans="1:50" s="16" customFormat="1" ht="12" hidden="1">
      <c r="A118" s="3" t="s">
        <v>386</v>
      </c>
      <c r="B118" s="3"/>
      <c r="C118" s="3" t="s">
        <v>216</v>
      </c>
      <c r="D118" s="3"/>
      <c r="E118" s="3">
        <v>49551</v>
      </c>
      <c r="F118" s="3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23">
        <f t="shared" si="6"/>
        <v>0</v>
      </c>
      <c r="Z118" s="17"/>
      <c r="AA118" s="17"/>
      <c r="AB118" s="17"/>
      <c r="AC118" s="17"/>
      <c r="AD118" s="17"/>
      <c r="AE118" s="17"/>
      <c r="AF118" s="17"/>
      <c r="AG118" s="17"/>
      <c r="AH118" s="16" t="s">
        <v>215</v>
      </c>
      <c r="AJ118" s="16" t="s">
        <v>216</v>
      </c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23">
        <f t="shared" si="7"/>
        <v>0</v>
      </c>
      <c r="AW118" s="17"/>
      <c r="AX118" s="23">
        <f t="shared" si="10"/>
        <v>0</v>
      </c>
    </row>
    <row r="119" spans="1:50" s="16" customFormat="1" ht="12">
      <c r="A119" s="3" t="s">
        <v>219</v>
      </c>
      <c r="B119" s="3"/>
      <c r="C119" s="3" t="s">
        <v>220</v>
      </c>
      <c r="D119" s="3"/>
      <c r="E119" s="3">
        <v>49742</v>
      </c>
      <c r="F119" s="3"/>
      <c r="G119" s="17">
        <v>0</v>
      </c>
      <c r="H119" s="17"/>
      <c r="I119" s="17">
        <v>0</v>
      </c>
      <c r="J119" s="17"/>
      <c r="K119" s="17">
        <f>586858+471038+1062167</f>
        <v>2120063</v>
      </c>
      <c r="L119" s="17"/>
      <c r="M119" s="17">
        <v>5980</v>
      </c>
      <c r="N119" s="17"/>
      <c r="O119" s="17">
        <v>0</v>
      </c>
      <c r="P119" s="17"/>
      <c r="Q119" s="17">
        <v>7068</v>
      </c>
      <c r="R119" s="17"/>
      <c r="S119" s="17">
        <v>0</v>
      </c>
      <c r="T119" s="17"/>
      <c r="U119" s="17">
        <v>13358</v>
      </c>
      <c r="V119" s="17"/>
      <c r="W119" s="17">
        <f>3195065+50236</f>
        <v>3245301</v>
      </c>
      <c r="X119" s="17"/>
      <c r="Y119" s="23">
        <f t="shared" si="6"/>
        <v>5391770</v>
      </c>
      <c r="Z119" s="17"/>
      <c r="AA119" s="17">
        <v>0</v>
      </c>
      <c r="AB119" s="17"/>
      <c r="AC119" s="17">
        <v>0</v>
      </c>
      <c r="AD119" s="17"/>
      <c r="AE119" s="17">
        <v>0</v>
      </c>
      <c r="AF119" s="17"/>
      <c r="AG119" s="17">
        <v>0</v>
      </c>
      <c r="AH119" s="16" t="s">
        <v>219</v>
      </c>
      <c r="AJ119" s="16" t="s">
        <v>220</v>
      </c>
      <c r="AK119" s="17"/>
      <c r="AL119" s="17">
        <v>60915</v>
      </c>
      <c r="AM119" s="17"/>
      <c r="AN119" s="17">
        <v>0</v>
      </c>
      <c r="AO119" s="17"/>
      <c r="AP119" s="17">
        <v>0</v>
      </c>
      <c r="AQ119" s="17"/>
      <c r="AR119" s="17">
        <v>0</v>
      </c>
      <c r="AS119" s="17"/>
      <c r="AT119" s="17">
        <v>0</v>
      </c>
      <c r="AU119" s="17"/>
      <c r="AV119" s="23">
        <f t="shared" si="7"/>
        <v>60915</v>
      </c>
      <c r="AW119" s="17"/>
      <c r="AX119" s="23">
        <f t="shared" si="10"/>
        <v>5452685</v>
      </c>
    </row>
    <row r="120" spans="1:50" s="16" customFormat="1" ht="12">
      <c r="A120" s="3" t="s">
        <v>324</v>
      </c>
      <c r="B120" s="3"/>
      <c r="C120" s="3" t="s">
        <v>217</v>
      </c>
      <c r="D120" s="3"/>
      <c r="E120" s="3">
        <v>125658</v>
      </c>
      <c r="F120" s="3"/>
      <c r="G120" s="17">
        <v>0</v>
      </c>
      <c r="H120" s="17"/>
      <c r="I120" s="17">
        <v>0</v>
      </c>
      <c r="J120" s="17"/>
      <c r="K120" s="17">
        <v>2506931</v>
      </c>
      <c r="L120" s="17"/>
      <c r="M120" s="17">
        <v>14351</v>
      </c>
      <c r="N120" s="17"/>
      <c r="O120" s="17">
        <v>5182464</v>
      </c>
      <c r="P120" s="17"/>
      <c r="Q120" s="17">
        <v>0</v>
      </c>
      <c r="R120" s="17"/>
      <c r="S120" s="17">
        <v>0</v>
      </c>
      <c r="T120" s="17"/>
      <c r="U120" s="17">
        <v>26363</v>
      </c>
      <c r="V120" s="17"/>
      <c r="W120" s="17">
        <f>1052685+3028</f>
        <v>1055713</v>
      </c>
      <c r="X120" s="17"/>
      <c r="Y120" s="23">
        <f t="shared" si="6"/>
        <v>8785822</v>
      </c>
      <c r="Z120" s="17"/>
      <c r="AA120" s="17">
        <v>0</v>
      </c>
      <c r="AB120" s="17"/>
      <c r="AC120" s="17">
        <v>0</v>
      </c>
      <c r="AD120" s="17"/>
      <c r="AE120" s="17">
        <v>0</v>
      </c>
      <c r="AF120" s="17"/>
      <c r="AG120" s="17">
        <v>0</v>
      </c>
      <c r="AH120" s="16" t="s">
        <v>324</v>
      </c>
      <c r="AJ120" s="16" t="s">
        <v>217</v>
      </c>
      <c r="AK120" s="17"/>
      <c r="AL120" s="17">
        <v>0</v>
      </c>
      <c r="AM120" s="17"/>
      <c r="AN120" s="17">
        <v>0</v>
      </c>
      <c r="AO120" s="17"/>
      <c r="AP120" s="17">
        <v>0</v>
      </c>
      <c r="AQ120" s="17"/>
      <c r="AR120" s="17">
        <v>0</v>
      </c>
      <c r="AS120" s="17"/>
      <c r="AT120" s="17">
        <v>0</v>
      </c>
      <c r="AU120" s="17"/>
      <c r="AV120" s="23">
        <f t="shared" si="7"/>
        <v>0</v>
      </c>
      <c r="AW120" s="17"/>
      <c r="AX120" s="23">
        <f t="shared" si="10"/>
        <v>8785822</v>
      </c>
    </row>
    <row r="121" spans="1:50" s="16" customFormat="1" ht="12">
      <c r="A121" s="3" t="s">
        <v>323</v>
      </c>
      <c r="B121" s="3"/>
      <c r="C121" s="3" t="s">
        <v>164</v>
      </c>
      <c r="D121" s="3"/>
      <c r="E121" s="3"/>
      <c r="F121" s="3"/>
      <c r="G121" s="17">
        <v>0</v>
      </c>
      <c r="H121" s="17"/>
      <c r="I121" s="17">
        <v>0</v>
      </c>
      <c r="J121" s="17"/>
      <c r="K121" s="17">
        <v>1242481</v>
      </c>
      <c r="L121" s="17"/>
      <c r="M121" s="17">
        <v>97665</v>
      </c>
      <c r="N121" s="17"/>
      <c r="O121" s="17">
        <f>2156171+219302</f>
        <v>2375473</v>
      </c>
      <c r="P121" s="17"/>
      <c r="Q121" s="17">
        <v>0</v>
      </c>
      <c r="R121" s="17"/>
      <c r="S121" s="17">
        <v>0</v>
      </c>
      <c r="T121" s="17"/>
      <c r="U121" s="17">
        <v>0</v>
      </c>
      <c r="V121" s="17"/>
      <c r="W121" s="17">
        <v>134567</v>
      </c>
      <c r="X121" s="17"/>
      <c r="Y121" s="23">
        <f>SUM(G121:X121)</f>
        <v>3850186</v>
      </c>
      <c r="Z121" s="17"/>
      <c r="AA121" s="17">
        <v>0</v>
      </c>
      <c r="AB121" s="17"/>
      <c r="AC121" s="17">
        <v>0</v>
      </c>
      <c r="AD121" s="17"/>
      <c r="AE121" s="17">
        <v>0</v>
      </c>
      <c r="AF121" s="17"/>
      <c r="AG121" s="17">
        <v>0</v>
      </c>
      <c r="AH121" s="3" t="s">
        <v>323</v>
      </c>
      <c r="AI121" s="3"/>
      <c r="AJ121" s="3" t="s">
        <v>164</v>
      </c>
      <c r="AK121" s="17"/>
      <c r="AL121" s="17">
        <v>0</v>
      </c>
      <c r="AM121" s="17"/>
      <c r="AN121" s="17">
        <v>0</v>
      </c>
      <c r="AO121" s="17"/>
      <c r="AP121" s="17">
        <v>0</v>
      </c>
      <c r="AQ121" s="17"/>
      <c r="AR121" s="17">
        <v>0</v>
      </c>
      <c r="AS121" s="17"/>
      <c r="AT121" s="17">
        <v>0</v>
      </c>
      <c r="AU121" s="17"/>
      <c r="AV121" s="23">
        <f>SUM(AA121:AT121)</f>
        <v>0</v>
      </c>
      <c r="AW121" s="17"/>
      <c r="AX121" s="23">
        <f t="shared" si="10"/>
        <v>3850186</v>
      </c>
    </row>
    <row r="122" spans="1:50" s="16" customFormat="1" ht="12">
      <c r="A122" s="3" t="s">
        <v>355</v>
      </c>
      <c r="B122" s="3"/>
      <c r="C122" s="3" t="s">
        <v>221</v>
      </c>
      <c r="D122" s="3"/>
      <c r="E122" s="3">
        <v>49825</v>
      </c>
      <c r="F122" s="3"/>
      <c r="G122" s="17">
        <v>0</v>
      </c>
      <c r="H122" s="17"/>
      <c r="I122" s="17">
        <v>0</v>
      </c>
      <c r="J122" s="17"/>
      <c r="K122" s="17">
        <f>131680+4016183+2810544</f>
        <v>6958407</v>
      </c>
      <c r="L122" s="17"/>
      <c r="M122" s="17">
        <v>37046</v>
      </c>
      <c r="N122" s="17"/>
      <c r="O122" s="17">
        <v>7297927</v>
      </c>
      <c r="P122" s="17"/>
      <c r="Q122" s="17">
        <v>0</v>
      </c>
      <c r="R122" s="17"/>
      <c r="S122" s="17">
        <v>0</v>
      </c>
      <c r="T122" s="17"/>
      <c r="U122" s="17">
        <v>15805</v>
      </c>
      <c r="V122" s="17"/>
      <c r="W122" s="17">
        <f>15937+4750401+75746+200793</f>
        <v>5042877</v>
      </c>
      <c r="X122" s="17"/>
      <c r="Y122" s="23">
        <f t="shared" si="6"/>
        <v>19352062</v>
      </c>
      <c r="Z122" s="17"/>
      <c r="AA122" s="17">
        <v>0</v>
      </c>
      <c r="AB122" s="17"/>
      <c r="AC122" s="17">
        <v>0</v>
      </c>
      <c r="AD122" s="17"/>
      <c r="AE122" s="17">
        <v>0</v>
      </c>
      <c r="AF122" s="17"/>
      <c r="AG122" s="17">
        <v>0</v>
      </c>
      <c r="AH122" s="16" t="s">
        <v>355</v>
      </c>
      <c r="AJ122" s="16" t="s">
        <v>221</v>
      </c>
      <c r="AK122" s="17"/>
      <c r="AL122" s="17">
        <v>0</v>
      </c>
      <c r="AM122" s="17"/>
      <c r="AN122" s="17">
        <v>250</v>
      </c>
      <c r="AO122" s="17"/>
      <c r="AP122" s="17">
        <v>0</v>
      </c>
      <c r="AQ122" s="17"/>
      <c r="AR122" s="17">
        <v>0</v>
      </c>
      <c r="AS122" s="17"/>
      <c r="AT122" s="17">
        <v>0</v>
      </c>
      <c r="AU122" s="17"/>
      <c r="AV122" s="23">
        <f t="shared" si="7"/>
        <v>250</v>
      </c>
      <c r="AW122" s="17"/>
      <c r="AX122" s="23">
        <f t="shared" si="10"/>
        <v>19352312</v>
      </c>
    </row>
    <row r="123" spans="1:50" s="16" customFormat="1" ht="12">
      <c r="A123" s="3" t="s">
        <v>222</v>
      </c>
      <c r="B123" s="3"/>
      <c r="C123" s="3" t="s">
        <v>223</v>
      </c>
      <c r="D123" s="3"/>
      <c r="E123" s="3">
        <v>49965</v>
      </c>
      <c r="F123" s="3"/>
      <c r="G123" s="17">
        <v>0</v>
      </c>
      <c r="H123" s="17"/>
      <c r="I123" s="17">
        <v>0</v>
      </c>
      <c r="J123" s="17"/>
      <c r="K123" s="17">
        <v>5043267</v>
      </c>
      <c r="L123" s="17"/>
      <c r="M123" s="17">
        <v>13157</v>
      </c>
      <c r="N123" s="17"/>
      <c r="O123" s="17">
        <v>1621441</v>
      </c>
      <c r="P123" s="17"/>
      <c r="Q123" s="17">
        <v>0</v>
      </c>
      <c r="R123" s="17"/>
      <c r="S123" s="17">
        <v>0</v>
      </c>
      <c r="T123" s="17"/>
      <c r="U123" s="17">
        <v>13330</v>
      </c>
      <c r="V123" s="17"/>
      <c r="W123" s="17">
        <f>7559568+2657</f>
        <v>7562225</v>
      </c>
      <c r="X123" s="17"/>
      <c r="Y123" s="23">
        <f t="shared" si="6"/>
        <v>14253420</v>
      </c>
      <c r="Z123" s="17"/>
      <c r="AA123" s="17">
        <v>0</v>
      </c>
      <c r="AB123" s="17"/>
      <c r="AC123" s="17">
        <v>0</v>
      </c>
      <c r="AD123" s="17"/>
      <c r="AE123" s="17">
        <v>0</v>
      </c>
      <c r="AF123" s="17"/>
      <c r="AG123" s="17">
        <v>0</v>
      </c>
      <c r="AH123" s="16" t="s">
        <v>222</v>
      </c>
      <c r="AJ123" s="16" t="s">
        <v>223</v>
      </c>
      <c r="AK123" s="17"/>
      <c r="AL123" s="17">
        <v>0</v>
      </c>
      <c r="AM123" s="17"/>
      <c r="AN123" s="17">
        <v>0</v>
      </c>
      <c r="AO123" s="17"/>
      <c r="AP123" s="17">
        <v>0</v>
      </c>
      <c r="AQ123" s="17"/>
      <c r="AR123" s="17">
        <v>0</v>
      </c>
      <c r="AS123" s="17"/>
      <c r="AT123" s="17">
        <v>0</v>
      </c>
      <c r="AU123" s="17"/>
      <c r="AV123" s="23">
        <f t="shared" si="7"/>
        <v>0</v>
      </c>
      <c r="AW123" s="17"/>
      <c r="AX123" s="23">
        <f t="shared" si="10"/>
        <v>14253420</v>
      </c>
    </row>
    <row r="124" spans="1:50" s="16" customFormat="1" ht="12">
      <c r="A124" s="3" t="s">
        <v>233</v>
      </c>
      <c r="B124" s="3"/>
      <c r="C124" s="3" t="s">
        <v>234</v>
      </c>
      <c r="D124" s="3"/>
      <c r="E124" s="3">
        <v>50526</v>
      </c>
      <c r="F124" s="3"/>
      <c r="G124" s="17">
        <v>0</v>
      </c>
      <c r="H124" s="17"/>
      <c r="I124" s="17">
        <v>0</v>
      </c>
      <c r="J124" s="17"/>
      <c r="K124" s="17">
        <f>99778+3284934+1078039</f>
        <v>4462751</v>
      </c>
      <c r="L124" s="17"/>
      <c r="M124" s="17">
        <v>37942</v>
      </c>
      <c r="N124" s="17"/>
      <c r="O124" s="17">
        <v>1750062</v>
      </c>
      <c r="P124" s="17"/>
      <c r="Q124" s="17">
        <v>0</v>
      </c>
      <c r="R124" s="17"/>
      <c r="S124" s="17">
        <v>0</v>
      </c>
      <c r="T124" s="17"/>
      <c r="U124" s="17">
        <v>0</v>
      </c>
      <c r="V124" s="17"/>
      <c r="W124" s="17">
        <f>48883+8084323</f>
        <v>8133206</v>
      </c>
      <c r="X124" s="17"/>
      <c r="Y124" s="23">
        <f t="shared" si="6"/>
        <v>14383961</v>
      </c>
      <c r="Z124" s="17"/>
      <c r="AA124" s="17">
        <v>0</v>
      </c>
      <c r="AB124" s="17"/>
      <c r="AC124" s="17">
        <v>0</v>
      </c>
      <c r="AD124" s="17"/>
      <c r="AE124" s="17">
        <v>0</v>
      </c>
      <c r="AF124" s="17"/>
      <c r="AG124" s="17">
        <v>0</v>
      </c>
      <c r="AH124" s="16" t="s">
        <v>233</v>
      </c>
      <c r="AJ124" s="16" t="s">
        <v>234</v>
      </c>
      <c r="AK124" s="17"/>
      <c r="AL124" s="17">
        <v>0</v>
      </c>
      <c r="AM124" s="17"/>
      <c r="AN124" s="17">
        <v>0</v>
      </c>
      <c r="AO124" s="17"/>
      <c r="AP124" s="17">
        <v>0</v>
      </c>
      <c r="AQ124" s="17"/>
      <c r="AR124" s="17">
        <v>0</v>
      </c>
      <c r="AS124" s="17"/>
      <c r="AT124" s="17">
        <v>0</v>
      </c>
      <c r="AU124" s="17"/>
      <c r="AV124" s="23">
        <f t="shared" si="7"/>
        <v>0</v>
      </c>
      <c r="AW124" s="17"/>
      <c r="AX124" s="23">
        <f t="shared" si="10"/>
        <v>14383961</v>
      </c>
    </row>
    <row r="125" spans="1:50" s="16" customFormat="1" ht="12">
      <c r="A125" s="3" t="s">
        <v>224</v>
      </c>
      <c r="B125" s="3"/>
      <c r="C125" s="3" t="s">
        <v>225</v>
      </c>
      <c r="D125" s="3"/>
      <c r="E125" s="3">
        <v>50088</v>
      </c>
      <c r="F125" s="3"/>
      <c r="G125" s="17">
        <v>0</v>
      </c>
      <c r="H125" s="17"/>
      <c r="I125" s="17">
        <v>0</v>
      </c>
      <c r="J125" s="17"/>
      <c r="K125" s="17">
        <f>2292883+364627</f>
        <v>2657510</v>
      </c>
      <c r="L125" s="17"/>
      <c r="M125" s="17">
        <v>35119</v>
      </c>
      <c r="N125" s="17"/>
      <c r="O125" s="17">
        <v>14026923</v>
      </c>
      <c r="P125" s="17"/>
      <c r="Q125" s="17">
        <v>54</v>
      </c>
      <c r="R125" s="17"/>
      <c r="S125" s="17">
        <v>0</v>
      </c>
      <c r="T125" s="17"/>
      <c r="U125" s="17">
        <v>28606</v>
      </c>
      <c r="V125" s="17"/>
      <c r="W125" s="17">
        <f>57629+20012</f>
        <v>77641</v>
      </c>
      <c r="X125" s="17"/>
      <c r="Y125" s="23">
        <f t="shared" si="6"/>
        <v>16825853</v>
      </c>
      <c r="Z125" s="17"/>
      <c r="AA125" s="17">
        <v>0</v>
      </c>
      <c r="AB125" s="17"/>
      <c r="AC125" s="17">
        <v>0</v>
      </c>
      <c r="AD125" s="17"/>
      <c r="AE125" s="17">
        <v>0</v>
      </c>
      <c r="AF125" s="17"/>
      <c r="AG125" s="17">
        <v>0</v>
      </c>
      <c r="AH125" s="16" t="s">
        <v>224</v>
      </c>
      <c r="AJ125" s="16" t="s">
        <v>225</v>
      </c>
      <c r="AK125" s="17"/>
      <c r="AL125" s="17">
        <v>0</v>
      </c>
      <c r="AM125" s="17"/>
      <c r="AN125" s="17">
        <v>0</v>
      </c>
      <c r="AO125" s="17"/>
      <c r="AP125" s="17">
        <v>0</v>
      </c>
      <c r="AQ125" s="17"/>
      <c r="AR125" s="17">
        <v>0</v>
      </c>
      <c r="AS125" s="17"/>
      <c r="AT125" s="17">
        <v>0</v>
      </c>
      <c r="AU125" s="17"/>
      <c r="AV125" s="23">
        <f t="shared" si="7"/>
        <v>0</v>
      </c>
      <c r="AW125" s="17"/>
      <c r="AX125" s="23">
        <f t="shared" si="10"/>
        <v>16825853</v>
      </c>
    </row>
    <row r="126" spans="1:50" s="16" customFormat="1" ht="12" hidden="1">
      <c r="A126" s="3" t="s">
        <v>385</v>
      </c>
      <c r="B126" s="3"/>
      <c r="C126" s="3" t="s">
        <v>227</v>
      </c>
      <c r="D126" s="3"/>
      <c r="E126" s="3">
        <v>50260</v>
      </c>
      <c r="F126" s="3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23"/>
      <c r="Z126" s="17"/>
      <c r="AA126" s="17"/>
      <c r="AB126" s="17"/>
      <c r="AC126" s="17"/>
      <c r="AD126" s="17"/>
      <c r="AE126" s="17"/>
      <c r="AF126" s="17"/>
      <c r="AG126" s="17"/>
      <c r="AH126" s="16" t="s">
        <v>327</v>
      </c>
      <c r="AJ126" s="16" t="s">
        <v>227</v>
      </c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23"/>
      <c r="AW126" s="17"/>
      <c r="AX126" s="23"/>
    </row>
    <row r="127" spans="1:50" s="16" customFormat="1" ht="12" hidden="1">
      <c r="A127" s="3" t="s">
        <v>352</v>
      </c>
      <c r="B127" s="3"/>
      <c r="C127" s="3" t="s">
        <v>231</v>
      </c>
      <c r="D127" s="3"/>
      <c r="E127" s="3">
        <v>50401</v>
      </c>
      <c r="F127" s="3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23">
        <f t="shared" si="6"/>
        <v>0</v>
      </c>
      <c r="Z127" s="17"/>
      <c r="AA127" s="17"/>
      <c r="AB127" s="17"/>
      <c r="AC127" s="17"/>
      <c r="AD127" s="17"/>
      <c r="AE127" s="17"/>
      <c r="AF127" s="17"/>
      <c r="AG127" s="17"/>
      <c r="AH127" s="16" t="s">
        <v>352</v>
      </c>
      <c r="AJ127" s="16" t="s">
        <v>231</v>
      </c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23">
        <f t="shared" si="7"/>
        <v>0</v>
      </c>
      <c r="AW127" s="17"/>
      <c r="AX127" s="23">
        <f>+AV127+Y127</f>
        <v>0</v>
      </c>
    </row>
    <row r="128" spans="1:50" s="16" customFormat="1" ht="12" hidden="1">
      <c r="A128" s="3" t="s">
        <v>387</v>
      </c>
      <c r="B128" s="3"/>
      <c r="C128" s="3" t="s">
        <v>232</v>
      </c>
      <c r="D128" s="3"/>
      <c r="E128" s="3">
        <v>50476</v>
      </c>
      <c r="F128" s="3"/>
      <c r="G128" s="17"/>
      <c r="H128" s="17"/>
      <c r="I128" s="17"/>
      <c r="J128" s="17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23">
        <f t="shared" si="6"/>
        <v>0</v>
      </c>
      <c r="Z128" s="3"/>
      <c r="AA128" s="3"/>
      <c r="AC128" s="3"/>
      <c r="AD128" s="3"/>
      <c r="AE128" s="3"/>
      <c r="AF128" s="3"/>
      <c r="AG128" s="3"/>
      <c r="AK128" s="3"/>
      <c r="AL128" s="3"/>
      <c r="AM128" s="3"/>
      <c r="AN128" s="3"/>
      <c r="AO128" s="3"/>
      <c r="AP128" s="3"/>
      <c r="AQ128" s="3"/>
      <c r="AR128" s="17"/>
      <c r="AS128" s="3"/>
      <c r="AT128" s="17"/>
      <c r="AU128" s="3"/>
      <c r="AV128" s="3"/>
      <c r="AW128" s="17"/>
      <c r="AX128" s="23">
        <f>+AV128+Y128</f>
        <v>0</v>
      </c>
    </row>
    <row r="129" spans="1:50" s="16" customFormat="1" ht="12">
      <c r="A129" s="3" t="s">
        <v>228</v>
      </c>
      <c r="B129" s="3"/>
      <c r="C129" s="3" t="s">
        <v>317</v>
      </c>
      <c r="D129" s="3"/>
      <c r="E129" s="3">
        <v>134999</v>
      </c>
      <c r="F129" s="3"/>
      <c r="G129" s="17">
        <v>0</v>
      </c>
      <c r="H129" s="17"/>
      <c r="I129" s="17">
        <v>0</v>
      </c>
      <c r="J129" s="17"/>
      <c r="K129" s="17">
        <v>2256214</v>
      </c>
      <c r="L129" s="17"/>
      <c r="M129" s="17">
        <v>12584</v>
      </c>
      <c r="N129" s="17"/>
      <c r="O129" s="17">
        <v>182863</v>
      </c>
      <c r="P129" s="17"/>
      <c r="Q129" s="17">
        <v>0</v>
      </c>
      <c r="R129" s="17"/>
      <c r="S129" s="17">
        <v>0</v>
      </c>
      <c r="T129" s="17"/>
      <c r="U129" s="17">
        <v>0</v>
      </c>
      <c r="V129" s="17"/>
      <c r="W129" s="17">
        <f>3165744+1619</f>
        <v>3167363</v>
      </c>
      <c r="X129" s="17"/>
      <c r="Y129" s="23">
        <f t="shared" si="6"/>
        <v>5619024</v>
      </c>
      <c r="Z129" s="17"/>
      <c r="AA129" s="17">
        <v>0</v>
      </c>
      <c r="AB129" s="17"/>
      <c r="AC129" s="17">
        <v>0</v>
      </c>
      <c r="AD129" s="17"/>
      <c r="AE129" s="17">
        <v>0</v>
      </c>
      <c r="AF129" s="17"/>
      <c r="AG129" s="17">
        <v>0</v>
      </c>
      <c r="AH129" s="16" t="s">
        <v>228</v>
      </c>
      <c r="AJ129" s="16" t="s">
        <v>317</v>
      </c>
      <c r="AK129" s="17"/>
      <c r="AL129" s="17">
        <v>0</v>
      </c>
      <c r="AM129" s="17"/>
      <c r="AN129" s="17">
        <v>0</v>
      </c>
      <c r="AO129" s="17"/>
      <c r="AP129" s="17">
        <v>0</v>
      </c>
      <c r="AQ129" s="17"/>
      <c r="AR129" s="17">
        <v>0</v>
      </c>
      <c r="AS129" s="17"/>
      <c r="AT129" s="17">
        <v>0</v>
      </c>
      <c r="AU129" s="17"/>
      <c r="AV129" s="23">
        <f>SUM(AA129:AT129)</f>
        <v>0</v>
      </c>
      <c r="AW129" s="17"/>
      <c r="AX129" s="23">
        <f>+AV129+Y129</f>
        <v>5619024</v>
      </c>
    </row>
    <row r="130" spans="1:50" s="16" customFormat="1" ht="12">
      <c r="A130" s="3" t="s">
        <v>235</v>
      </c>
      <c r="B130" s="3"/>
      <c r="C130" s="3" t="s">
        <v>236</v>
      </c>
      <c r="D130" s="3"/>
      <c r="E130" s="3">
        <v>50666</v>
      </c>
      <c r="F130" s="3"/>
      <c r="G130" s="17">
        <v>0</v>
      </c>
      <c r="H130" s="17"/>
      <c r="I130" s="17">
        <v>0</v>
      </c>
      <c r="J130" s="17"/>
      <c r="K130" s="17">
        <v>4021541</v>
      </c>
      <c r="L130" s="17"/>
      <c r="M130" s="17">
        <v>62629</v>
      </c>
      <c r="N130" s="17"/>
      <c r="O130" s="17">
        <v>616040</v>
      </c>
      <c r="P130" s="17"/>
      <c r="Q130" s="17">
        <v>0</v>
      </c>
      <c r="R130" s="17"/>
      <c r="S130" s="17">
        <v>0</v>
      </c>
      <c r="T130" s="17"/>
      <c r="U130" s="17">
        <v>71925</v>
      </c>
      <c r="V130" s="17"/>
      <c r="W130" s="17">
        <f>118552+13116336</f>
        <v>13234888</v>
      </c>
      <c r="X130" s="17"/>
      <c r="Y130" s="23">
        <f t="shared" si="6"/>
        <v>18007023</v>
      </c>
      <c r="Z130" s="17"/>
      <c r="AA130" s="17">
        <v>0</v>
      </c>
      <c r="AB130" s="17"/>
      <c r="AC130" s="17">
        <v>0</v>
      </c>
      <c r="AD130" s="17"/>
      <c r="AE130" s="17">
        <v>0</v>
      </c>
      <c r="AF130" s="17"/>
      <c r="AG130" s="17">
        <v>0</v>
      </c>
      <c r="AH130" s="16" t="s">
        <v>235</v>
      </c>
      <c r="AJ130" s="16" t="s">
        <v>236</v>
      </c>
      <c r="AK130" s="17"/>
      <c r="AL130" s="17">
        <v>0</v>
      </c>
      <c r="AM130" s="17"/>
      <c r="AN130" s="17">
        <v>0</v>
      </c>
      <c r="AO130" s="17"/>
      <c r="AP130" s="17">
        <v>0</v>
      </c>
      <c r="AQ130" s="17"/>
      <c r="AR130" s="17">
        <v>0</v>
      </c>
      <c r="AS130" s="17"/>
      <c r="AT130" s="17">
        <v>0</v>
      </c>
      <c r="AU130" s="17"/>
      <c r="AV130" s="23">
        <f t="shared" si="7"/>
        <v>0</v>
      </c>
      <c r="AW130" s="17"/>
      <c r="AX130" s="23">
        <f>+AV130+Y130</f>
        <v>18007023</v>
      </c>
    </row>
    <row r="131" spans="1:50" s="16" customFormat="1" ht="12">
      <c r="A131" s="3"/>
      <c r="B131" s="3"/>
      <c r="C131" s="3"/>
      <c r="D131" s="3"/>
      <c r="E131" s="3"/>
      <c r="F131" s="3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23"/>
      <c r="Z131" s="17"/>
      <c r="AA131" s="17"/>
      <c r="AB131" s="17"/>
      <c r="AC131" s="17"/>
      <c r="AD131" s="17"/>
      <c r="AE131" s="17"/>
      <c r="AF131" s="17"/>
      <c r="AG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23"/>
      <c r="AW131" s="17"/>
      <c r="AX131" s="23"/>
    </row>
    <row r="132" spans="1:50" s="16" customFormat="1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C132" s="3"/>
      <c r="AD132" s="3"/>
      <c r="AE132" s="17" t="s">
        <v>310</v>
      </c>
      <c r="AF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>
      <c r="A133" s="74"/>
      <c r="B133" s="74"/>
      <c r="C133" s="74"/>
      <c r="D133" s="74"/>
      <c r="E133" s="74"/>
      <c r="F133" s="74"/>
      <c r="G133" s="74"/>
      <c r="H133" s="74"/>
      <c r="I133" s="74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C133" s="21"/>
      <c r="AD133" s="21"/>
      <c r="AE133" s="21"/>
      <c r="AF133" s="21"/>
      <c r="AG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</row>
    <row r="134" spans="1:50">
      <c r="A134" s="21"/>
      <c r="B134" s="21"/>
      <c r="C134" s="21"/>
      <c r="D134" s="21"/>
      <c r="E134" s="21"/>
      <c r="F134" s="21"/>
      <c r="G134" s="8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C134" s="21"/>
      <c r="AD134" s="21"/>
      <c r="AE134" s="21"/>
      <c r="AF134" s="21"/>
      <c r="AG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</row>
    <row r="135" spans="1:50">
      <c r="A135" s="21"/>
      <c r="B135" s="21"/>
      <c r="C135" s="21"/>
      <c r="D135" s="21"/>
      <c r="E135" s="21"/>
      <c r="F135" s="21"/>
      <c r="G135" s="8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C135" s="21"/>
      <c r="AD135" s="21"/>
      <c r="AE135" s="21"/>
      <c r="AF135" s="21"/>
      <c r="AG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</row>
    <row r="136" spans="1:50">
      <c r="A136" s="21"/>
      <c r="B136" s="21"/>
      <c r="C136" s="21"/>
      <c r="D136" s="21"/>
      <c r="E136" s="21"/>
      <c r="F136" s="21"/>
      <c r="G136" s="8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C136" s="21"/>
      <c r="AD136" s="21"/>
      <c r="AE136" s="21"/>
      <c r="AF136" s="21"/>
      <c r="AG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</row>
    <row r="137" spans="1:50">
      <c r="A137" s="21"/>
      <c r="B137" s="21"/>
      <c r="C137" s="21"/>
      <c r="D137" s="21"/>
      <c r="E137" s="21"/>
      <c r="F137" s="21"/>
      <c r="G137" s="8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C137" s="21"/>
      <c r="AD137" s="21"/>
      <c r="AE137" s="21"/>
      <c r="AF137" s="21"/>
      <c r="AG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</row>
    <row r="138" spans="1:50">
      <c r="A138" s="21"/>
      <c r="B138" s="21"/>
      <c r="C138" s="21"/>
      <c r="D138" s="21"/>
      <c r="E138" s="21"/>
      <c r="F138" s="21"/>
      <c r="G138" s="8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C138" s="21"/>
      <c r="AD138" s="21"/>
      <c r="AE138" s="21"/>
      <c r="AF138" s="21"/>
      <c r="AG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</row>
    <row r="139" spans="1:50">
      <c r="A139" s="21"/>
      <c r="B139" s="21"/>
      <c r="C139" s="21"/>
      <c r="D139" s="21"/>
      <c r="E139" s="21"/>
      <c r="F139" s="21"/>
      <c r="G139" s="8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C139" s="21"/>
      <c r="AD139" s="21"/>
      <c r="AE139" s="21"/>
      <c r="AF139" s="21"/>
      <c r="AG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</row>
    <row r="140" spans="1:50">
      <c r="G140" s="8"/>
      <c r="AC140" s="21"/>
      <c r="AD140" s="21"/>
      <c r="AE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</row>
    <row r="142" spans="1:50">
      <c r="G142" s="8"/>
    </row>
    <row r="143" spans="1:50">
      <c r="G143" s="8"/>
    </row>
    <row r="144" spans="1:50">
      <c r="G144" s="8"/>
    </row>
    <row r="145" spans="7:7">
      <c r="G145" s="8"/>
    </row>
    <row r="146" spans="7:7">
      <c r="G146" s="8"/>
    </row>
    <row r="147" spans="7:7">
      <c r="G147" s="8"/>
    </row>
    <row r="148" spans="7:7">
      <c r="G148" s="8"/>
    </row>
    <row r="149" spans="7:7">
      <c r="G149" s="8"/>
    </row>
    <row r="150" spans="7:7">
      <c r="G150" s="8"/>
    </row>
    <row r="151" spans="7:7">
      <c r="G151" s="8"/>
    </row>
    <row r="152" spans="7:7">
      <c r="G152" s="8"/>
    </row>
    <row r="153" spans="7:7">
      <c r="G153" s="8"/>
    </row>
    <row r="154" spans="7:7">
      <c r="G154" s="8"/>
    </row>
    <row r="155" spans="7:7">
      <c r="G155" s="8"/>
    </row>
    <row r="156" spans="7:7">
      <c r="G156" s="8"/>
    </row>
    <row r="157" spans="7:7">
      <c r="G157" s="8"/>
    </row>
    <row r="158" spans="7:7">
      <c r="G158" s="8"/>
    </row>
    <row r="159" spans="7:7">
      <c r="G159" s="8"/>
    </row>
    <row r="160" spans="7:7">
      <c r="G160" s="8"/>
    </row>
    <row r="161" spans="7:7">
      <c r="G161" s="8"/>
    </row>
    <row r="162" spans="7:7">
      <c r="G162" s="8"/>
    </row>
    <row r="163" spans="7:7">
      <c r="G163" s="8"/>
    </row>
    <row r="164" spans="7:7">
      <c r="G164" s="8"/>
    </row>
    <row r="165" spans="7:7">
      <c r="G165" s="8"/>
    </row>
    <row r="166" spans="7:7">
      <c r="G166" s="8"/>
    </row>
    <row r="167" spans="7:7">
      <c r="G167" s="8"/>
    </row>
    <row r="168" spans="7:7">
      <c r="G168" s="8"/>
    </row>
    <row r="169" spans="7:7">
      <c r="G169" s="8"/>
    </row>
    <row r="170" spans="7:7">
      <c r="G170" s="8"/>
    </row>
    <row r="171" spans="7:7">
      <c r="G171" s="8"/>
    </row>
    <row r="172" spans="7:7">
      <c r="G172" s="8"/>
    </row>
    <row r="173" spans="7:7">
      <c r="G173" s="8"/>
    </row>
    <row r="174" spans="7:7">
      <c r="G174" s="8"/>
    </row>
    <row r="175" spans="7:7">
      <c r="G175" s="8"/>
    </row>
    <row r="176" spans="7:7">
      <c r="G176" s="8"/>
    </row>
    <row r="177" spans="7:7">
      <c r="G177" s="8"/>
    </row>
    <row r="178" spans="7:7">
      <c r="G178" s="8"/>
    </row>
    <row r="179" spans="7:7">
      <c r="G179" s="8"/>
    </row>
    <row r="181" spans="7:7">
      <c r="G181" s="8"/>
    </row>
    <row r="182" spans="7:7">
      <c r="G182" s="8"/>
    </row>
    <row r="183" spans="7:7">
      <c r="G183" s="8"/>
    </row>
    <row r="184" spans="7:7">
      <c r="G184" s="8"/>
    </row>
    <row r="185" spans="7:7">
      <c r="G185" s="8"/>
    </row>
    <row r="186" spans="7:7">
      <c r="G186" s="8"/>
    </row>
    <row r="187" spans="7:7">
      <c r="G187" s="8"/>
    </row>
    <row r="188" spans="7:7">
      <c r="G188" s="8"/>
    </row>
    <row r="189" spans="7:7">
      <c r="G189" s="8"/>
    </row>
    <row r="190" spans="7:7">
      <c r="G190" s="8"/>
    </row>
    <row r="191" spans="7:7">
      <c r="G191" s="8"/>
    </row>
    <row r="192" spans="7:7">
      <c r="G192" s="8"/>
    </row>
    <row r="194" spans="7:7">
      <c r="G194" s="8"/>
    </row>
    <row r="195" spans="7:7">
      <c r="G195" s="8"/>
    </row>
    <row r="196" spans="7:7">
      <c r="G196" s="8"/>
    </row>
    <row r="197" spans="7:7">
      <c r="G197" s="8"/>
    </row>
    <row r="198" spans="7:7">
      <c r="G198" s="8"/>
    </row>
    <row r="199" spans="7:7">
      <c r="G199" s="8"/>
    </row>
    <row r="200" spans="7:7">
      <c r="G200" s="8"/>
    </row>
    <row r="201" spans="7:7">
      <c r="G201" s="8"/>
    </row>
    <row r="202" spans="7:7">
      <c r="G202" s="8"/>
    </row>
    <row r="203" spans="7:7">
      <c r="G203" s="8"/>
    </row>
  </sheetData>
  <mergeCells count="3">
    <mergeCell ref="AA7:AE7"/>
    <mergeCell ref="AL7:AR7"/>
    <mergeCell ref="A133:I133"/>
  </mergeCells>
  <phoneticPr fontId="3" type="noConversion"/>
  <pageMargins left="0.9" right="0.75" top="0.5" bottom="0.5" header="0.25" footer="0.25"/>
  <pageSetup scale="80" firstPageNumber="48" pageOrder="overThenDown" orientation="portrait" useFirstPageNumber="1" r:id="rId1"/>
  <headerFooter scaleWithDoc="0" alignWithMargins="0">
    <oddFooter>&amp;C&amp;"Times New Roman,Regular"&amp;12&amp;P</oddFooter>
  </headerFooter>
  <rowBreaks count="1" manualBreakCount="1"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B139"/>
  <sheetViews>
    <sheetView zoomScaleNormal="100" zoomScaleSheetLayoutView="100" workbookViewId="0">
      <pane xSplit="6" ySplit="11" topLeftCell="G12" activePane="bottomRight" state="frozen"/>
      <selection pane="topRight" activeCell="G1" sqref="G1"/>
      <selection pane="bottomLeft" activeCell="A11" sqref="A11"/>
      <selection pane="bottomRight" activeCell="G12" sqref="G12"/>
    </sheetView>
  </sheetViews>
  <sheetFormatPr defaultRowHeight="12.75"/>
  <cols>
    <col min="1" max="1" width="40.7109375" style="18" customWidth="1"/>
    <col min="2" max="2" width="1.7109375" style="18" customWidth="1"/>
    <col min="3" max="3" width="8.7109375" style="18" customWidth="1"/>
    <col min="4" max="4" width="1.7109375" style="18" hidden="1" customWidth="1"/>
    <col min="5" max="5" width="11.7109375" style="18" hidden="1" customWidth="1"/>
    <col min="6" max="6" width="1.7109375" style="18" customWidth="1"/>
    <col min="7" max="7" width="11.7109375" style="18" customWidth="1"/>
    <col min="8" max="8" width="1.7109375" style="18" customWidth="1"/>
    <col min="9" max="9" width="11.7109375" style="18" customWidth="1"/>
    <col min="10" max="10" width="1.7109375" style="18" customWidth="1"/>
    <col min="11" max="11" width="11.7109375" style="18" customWidth="1"/>
    <col min="12" max="12" width="1.7109375" style="18" customWidth="1"/>
    <col min="13" max="13" width="11.7109375" style="18" customWidth="1"/>
    <col min="14" max="14" width="1.7109375" style="18" customWidth="1"/>
    <col min="15" max="15" width="11.7109375" style="18" customWidth="1"/>
    <col min="16" max="16" width="1.7109375" style="18" customWidth="1"/>
    <col min="17" max="17" width="11.7109375" style="18" customWidth="1"/>
    <col min="18" max="18" width="1.7109375" style="18" customWidth="1"/>
    <col min="19" max="19" width="11.7109375" style="18" customWidth="1"/>
    <col min="20" max="20" width="1.7109375" style="18" customWidth="1"/>
    <col min="21" max="21" width="10.7109375" style="18" customWidth="1"/>
    <col min="22" max="22" width="1.7109375" style="18" customWidth="1"/>
    <col min="23" max="23" width="10.7109375" style="18" customWidth="1"/>
    <col min="24" max="24" width="1.7109375" style="18" customWidth="1"/>
    <col min="25" max="25" width="10.7109375" style="18" customWidth="1"/>
    <col min="26" max="26" width="1.7109375" style="18" customWidth="1"/>
    <col min="27" max="27" width="11.7109375" style="18" customWidth="1"/>
    <col min="28" max="28" width="1.7109375" style="18" customWidth="1"/>
    <col min="29" max="29" width="11.7109375" style="18" customWidth="1"/>
    <col min="30" max="30" width="1.7109375" style="18" customWidth="1"/>
    <col min="31" max="31" width="40.7109375" style="18" customWidth="1"/>
    <col min="32" max="32" width="1.7109375" style="18" customWidth="1"/>
    <col min="33" max="33" width="8.7109375" style="18" customWidth="1"/>
    <col min="34" max="34" width="1.7109375" style="18" customWidth="1"/>
    <col min="35" max="35" width="11.7109375" style="18" customWidth="1"/>
    <col min="36" max="36" width="1.7109375" style="18" customWidth="1"/>
    <col min="37" max="37" width="10.7109375" style="18" customWidth="1"/>
    <col min="38" max="38" width="1.7109375" style="18" customWidth="1"/>
    <col min="39" max="39" width="11.7109375" style="18" customWidth="1"/>
    <col min="40" max="40" width="1.7109375" style="18" customWidth="1"/>
    <col min="41" max="41" width="10.7109375" style="18" customWidth="1"/>
    <col min="42" max="42" width="1.7109375" style="18" customWidth="1"/>
    <col min="43" max="43" width="12.85546875" style="18" customWidth="1"/>
    <col min="44" max="44" width="1.7109375" style="18" customWidth="1"/>
    <col min="45" max="45" width="12.42578125" style="18" customWidth="1"/>
    <col min="46" max="46" width="1.7109375" style="18" customWidth="1"/>
    <col min="47" max="47" width="13.140625" style="18" customWidth="1"/>
    <col min="48" max="48" width="1.7109375" style="18" customWidth="1"/>
    <col min="49" max="49" width="13" style="18" customWidth="1"/>
    <col min="50" max="50" width="1.7109375" style="18" customWidth="1"/>
    <col min="51" max="51" width="11.5703125" style="18" customWidth="1"/>
    <col min="52" max="52" width="1.7109375" style="18" customWidth="1"/>
    <col min="53" max="53" width="11.5703125" style="18" customWidth="1"/>
    <col min="54" max="54" width="1.7109375" style="18" customWidth="1"/>
    <col min="55" max="55" width="12.28515625" style="18" customWidth="1"/>
    <col min="56" max="56" width="40.7109375" style="18" customWidth="1"/>
    <col min="57" max="57" width="1.7109375" style="18" customWidth="1"/>
    <col min="58" max="58" width="8.7109375" style="18" customWidth="1"/>
    <col min="59" max="59" width="1.7109375" style="18" customWidth="1"/>
    <col min="60" max="60" width="11.7109375" style="18" customWidth="1"/>
    <col min="61" max="61" width="1.7109375" style="18" hidden="1" customWidth="1"/>
    <col min="62" max="62" width="11.7109375" style="18" hidden="1" customWidth="1"/>
    <col min="63" max="63" width="1.7109375" style="18" hidden="1" customWidth="1"/>
    <col min="64" max="64" width="11.7109375" style="18" hidden="1" customWidth="1"/>
    <col min="65" max="65" width="1.7109375" style="18" customWidth="1"/>
    <col min="66" max="66" width="11.7109375" style="18" customWidth="1"/>
    <col min="67" max="67" width="1.7109375" style="18" customWidth="1"/>
    <col min="68" max="68" width="11.7109375" style="18" customWidth="1"/>
    <col min="69" max="69" width="1.7109375" style="18" customWidth="1"/>
    <col min="70" max="70" width="11.7109375" style="18" customWidth="1"/>
    <col min="71" max="71" width="1.7109375" style="18" customWidth="1"/>
    <col min="72" max="72" width="11.7109375" style="18" customWidth="1"/>
    <col min="73" max="73" width="1.7109375" style="18" customWidth="1"/>
    <col min="74" max="74" width="11.7109375" style="18" customWidth="1"/>
    <col min="75" max="75" width="1.7109375" style="18" customWidth="1"/>
    <col min="76" max="76" width="11.7109375" style="18" customWidth="1"/>
    <col min="77" max="77" width="1.7109375" style="18" customWidth="1"/>
    <col min="78" max="78" width="11.7109375" style="18" customWidth="1"/>
    <col min="79" max="79" width="1.7109375" style="18" customWidth="1"/>
    <col min="80" max="16384" width="9.140625" style="18"/>
  </cols>
  <sheetData>
    <row r="1" spans="1:80" s="7" customFormat="1" ht="12">
      <c r="A1" s="48" t="s">
        <v>312</v>
      </c>
      <c r="B1" s="48"/>
      <c r="C1" s="48"/>
      <c r="D1" s="48"/>
      <c r="E1" s="48"/>
      <c r="F1" s="48"/>
      <c r="G1" s="48"/>
      <c r="H1" s="48"/>
      <c r="I1" s="59"/>
      <c r="J1" s="59"/>
      <c r="K1" s="59"/>
      <c r="L1" s="59"/>
      <c r="M1" s="59"/>
      <c r="N1" s="5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8"/>
      <c r="AC1" s="1"/>
      <c r="AD1" s="1"/>
      <c r="AE1" s="48" t="s">
        <v>312</v>
      </c>
      <c r="AF1" s="48"/>
      <c r="AG1" s="48"/>
      <c r="AH1" s="1"/>
      <c r="AI1" s="1"/>
      <c r="AJ1" s="1"/>
      <c r="AK1" s="1"/>
      <c r="AL1" s="48"/>
      <c r="AM1" s="1"/>
      <c r="AN1" s="1"/>
      <c r="AO1" s="1"/>
      <c r="AP1" s="1"/>
      <c r="AQ1" s="1"/>
      <c r="AR1" s="1"/>
      <c r="AS1" s="1"/>
      <c r="AT1" s="1"/>
      <c r="AU1" s="1"/>
      <c r="AV1" s="1"/>
      <c r="AW1" s="56"/>
      <c r="BD1" s="48" t="s">
        <v>312</v>
      </c>
      <c r="BE1" s="48"/>
      <c r="BF1" s="48"/>
    </row>
    <row r="2" spans="1:80" s="7" customFormat="1" ht="12">
      <c r="A2" s="48" t="s">
        <v>358</v>
      </c>
      <c r="B2" s="48"/>
      <c r="C2" s="48"/>
      <c r="D2" s="48"/>
      <c r="E2" s="48"/>
      <c r="F2" s="48"/>
      <c r="G2" s="48"/>
      <c r="H2" s="48"/>
      <c r="I2" s="59"/>
      <c r="J2" s="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8"/>
      <c r="AC2" s="1"/>
      <c r="AD2" s="1"/>
      <c r="AE2" s="48" t="s">
        <v>358</v>
      </c>
      <c r="AF2" s="48"/>
      <c r="AG2" s="48"/>
      <c r="AH2" s="1"/>
      <c r="AI2" s="1"/>
      <c r="AJ2" s="1"/>
      <c r="AK2" s="1"/>
      <c r="AL2" s="48"/>
      <c r="AM2" s="1"/>
      <c r="AN2" s="1"/>
      <c r="AO2" s="1"/>
      <c r="AP2" s="1"/>
      <c r="AQ2" s="1"/>
      <c r="AR2" s="1"/>
      <c r="AS2" s="1"/>
      <c r="AT2" s="1"/>
      <c r="AU2" s="1"/>
      <c r="AV2" s="1"/>
      <c r="AW2" s="56"/>
      <c r="BD2" s="48" t="s">
        <v>358</v>
      </c>
      <c r="BE2" s="48"/>
      <c r="BF2" s="48"/>
    </row>
    <row r="3" spans="1:80" s="7" customFormat="1" ht="12">
      <c r="B3" s="48"/>
      <c r="C3" s="48"/>
      <c r="D3" s="48"/>
      <c r="E3" s="48"/>
      <c r="F3" s="48"/>
      <c r="G3" s="48"/>
      <c r="H3" s="48"/>
      <c r="I3" s="59"/>
      <c r="J3" s="5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48"/>
      <c r="AC3" s="1"/>
      <c r="AD3" s="1"/>
      <c r="AE3" s="7" t="s">
        <v>310</v>
      </c>
      <c r="AF3" s="48"/>
      <c r="AG3" s="48"/>
      <c r="AH3" s="1"/>
      <c r="AI3" s="1"/>
      <c r="AJ3" s="1"/>
      <c r="AK3" s="1"/>
      <c r="AL3" s="48"/>
      <c r="AM3" s="1"/>
      <c r="AN3" s="1"/>
      <c r="AO3" s="1"/>
      <c r="AP3" s="1"/>
      <c r="AQ3" s="1"/>
      <c r="AR3" s="1"/>
      <c r="AS3" s="1"/>
      <c r="AT3" s="1"/>
      <c r="AU3" s="1"/>
      <c r="AV3" s="1"/>
      <c r="AW3" s="56"/>
      <c r="BD3" s="7" t="s">
        <v>310</v>
      </c>
      <c r="BE3" s="48"/>
      <c r="BF3" s="48"/>
    </row>
    <row r="4" spans="1:80" s="3" customFormat="1" ht="12.75" customHeight="1">
      <c r="A4" s="19" t="s">
        <v>316</v>
      </c>
      <c r="B4" s="4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4"/>
      <c r="AC4" s="1"/>
      <c r="AD4" s="1"/>
      <c r="AE4" s="19" t="s">
        <v>316</v>
      </c>
      <c r="AF4" s="4"/>
      <c r="AG4" s="4"/>
      <c r="AH4" s="1"/>
      <c r="AI4" s="1"/>
      <c r="AJ4" s="1"/>
      <c r="AK4" s="1"/>
      <c r="AL4" s="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BD4" s="19" t="s">
        <v>316</v>
      </c>
      <c r="BE4" s="4"/>
      <c r="BF4" s="4"/>
    </row>
    <row r="5" spans="1:80" s="3" customFormat="1" ht="12.75" customHeight="1">
      <c r="A5" s="19"/>
      <c r="B5" s="4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4"/>
      <c r="AC5" s="1"/>
      <c r="AD5" s="1"/>
      <c r="AE5" s="19"/>
      <c r="AF5" s="4"/>
      <c r="AG5" s="4"/>
      <c r="AH5" s="1"/>
      <c r="AI5" s="1"/>
      <c r="AJ5" s="1"/>
      <c r="AK5" s="1"/>
      <c r="AL5" s="4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BD5" s="19"/>
      <c r="BE5" s="4"/>
      <c r="BF5" s="4"/>
    </row>
    <row r="6" spans="1:80" s="3" customFormat="1" ht="12.75" customHeight="1">
      <c r="A6" s="7"/>
      <c r="B6" s="4"/>
      <c r="C6" s="4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4"/>
      <c r="AC6" s="1"/>
      <c r="AD6" s="1"/>
      <c r="AF6" s="4"/>
      <c r="AG6" s="4"/>
      <c r="AH6" s="1"/>
      <c r="AI6" s="1"/>
      <c r="AJ6" s="1"/>
      <c r="AK6" s="1"/>
      <c r="AL6" s="4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BE6" s="4"/>
      <c r="BF6" s="4"/>
    </row>
    <row r="7" spans="1:80" s="3" customFormat="1" ht="12">
      <c r="A7" s="67" t="s">
        <v>392</v>
      </c>
      <c r="B7" s="7"/>
      <c r="C7" s="7"/>
      <c r="D7" s="7"/>
      <c r="E7" s="7"/>
      <c r="F7" s="7"/>
      <c r="G7" s="47" t="s">
        <v>58</v>
      </c>
      <c r="H7" s="47"/>
      <c r="I7" s="47"/>
      <c r="J7" s="47"/>
      <c r="K7" s="47"/>
      <c r="L7" s="47"/>
      <c r="M7" s="47"/>
      <c r="O7" s="73" t="s">
        <v>59</v>
      </c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5"/>
      <c r="AE7" s="67" t="s">
        <v>392</v>
      </c>
      <c r="AF7" s="7"/>
      <c r="AG7" s="7"/>
      <c r="AH7" s="70"/>
      <c r="AI7" s="47" t="s">
        <v>391</v>
      </c>
      <c r="AJ7" s="58"/>
      <c r="AK7" s="58"/>
      <c r="AL7" s="7"/>
      <c r="AM7" s="73" t="s">
        <v>356</v>
      </c>
      <c r="AN7" s="73"/>
      <c r="AO7" s="73"/>
      <c r="AW7" s="47" t="s">
        <v>116</v>
      </c>
      <c r="AX7" s="47"/>
      <c r="AY7" s="47"/>
      <c r="BD7" s="67" t="s">
        <v>392</v>
      </c>
      <c r="BE7" s="7"/>
      <c r="BF7" s="7"/>
      <c r="BH7" s="47" t="s">
        <v>117</v>
      </c>
      <c r="BI7" s="47"/>
      <c r="BJ7" s="47"/>
      <c r="BK7" s="47"/>
      <c r="BL7" s="47"/>
      <c r="BM7" s="47"/>
      <c r="BN7" s="47"/>
      <c r="BP7" s="11" t="s">
        <v>8</v>
      </c>
      <c r="BQ7" s="11"/>
      <c r="BR7" s="11" t="s">
        <v>118</v>
      </c>
      <c r="BS7" s="11"/>
      <c r="BT7" s="11" t="s">
        <v>97</v>
      </c>
      <c r="BU7" s="11"/>
      <c r="BV7" s="11" t="s">
        <v>280</v>
      </c>
      <c r="BW7" s="11"/>
      <c r="BX7" s="11" t="s">
        <v>97</v>
      </c>
      <c r="BY7" s="11"/>
      <c r="BZ7" s="11" t="s">
        <v>4</v>
      </c>
    </row>
    <row r="8" spans="1:80" s="11" customFormat="1" ht="12">
      <c r="A8" s="20"/>
      <c r="AA8" s="11" t="s">
        <v>60</v>
      </c>
      <c r="BL8" s="11" t="s">
        <v>264</v>
      </c>
      <c r="BN8" s="11" t="s">
        <v>119</v>
      </c>
      <c r="BP8" s="11" t="s">
        <v>120</v>
      </c>
      <c r="BR8" s="11" t="s">
        <v>121</v>
      </c>
      <c r="BT8" s="11" t="s">
        <v>122</v>
      </c>
      <c r="BV8" s="11" t="s">
        <v>279</v>
      </c>
      <c r="BX8" s="11" t="s">
        <v>122</v>
      </c>
      <c r="BZ8" s="11" t="s">
        <v>11</v>
      </c>
    </row>
    <row r="9" spans="1:80" s="11" customFormat="1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 t="s">
        <v>63</v>
      </c>
      <c r="R9" s="2"/>
      <c r="S9" s="2" t="s">
        <v>64</v>
      </c>
      <c r="T9" s="2"/>
      <c r="U9" s="2"/>
      <c r="V9" s="2"/>
      <c r="W9" s="2"/>
      <c r="X9" s="2"/>
      <c r="Y9" s="2"/>
      <c r="Z9" s="2"/>
      <c r="AA9" s="2" t="s">
        <v>65</v>
      </c>
      <c r="AB9" s="2"/>
      <c r="AC9" s="2" t="s">
        <v>66</v>
      </c>
      <c r="AD9" s="2"/>
      <c r="AE9" s="2"/>
      <c r="AF9" s="2"/>
      <c r="AG9" s="2"/>
      <c r="AH9" s="2"/>
      <c r="AI9" s="2"/>
      <c r="AJ9" s="2"/>
      <c r="AK9" s="2"/>
      <c r="AL9" s="2"/>
      <c r="AM9" s="11" t="s">
        <v>67</v>
      </c>
      <c r="AQ9" s="11" t="s">
        <v>68</v>
      </c>
      <c r="AS9" s="11" t="s">
        <v>6</v>
      </c>
      <c r="AU9" s="11" t="s">
        <v>104</v>
      </c>
      <c r="AW9" s="11" t="s">
        <v>123</v>
      </c>
      <c r="BC9" s="11" t="s">
        <v>8</v>
      </c>
      <c r="BD9" s="2"/>
      <c r="BE9" s="2"/>
      <c r="BF9" s="2"/>
      <c r="BH9" s="11" t="s">
        <v>69</v>
      </c>
      <c r="BJ9" s="11" t="s">
        <v>124</v>
      </c>
      <c r="BL9" s="11" t="s">
        <v>265</v>
      </c>
      <c r="BN9" s="11" t="s">
        <v>87</v>
      </c>
      <c r="BP9" s="11" t="s">
        <v>42</v>
      </c>
      <c r="BR9" s="11" t="s">
        <v>97</v>
      </c>
      <c r="BT9" s="2" t="s">
        <v>72</v>
      </c>
      <c r="BV9" s="11" t="s">
        <v>263</v>
      </c>
      <c r="BX9" s="2" t="s">
        <v>125</v>
      </c>
      <c r="BZ9" s="11" t="s">
        <v>126</v>
      </c>
    </row>
    <row r="10" spans="1:80" s="11" customFormat="1" ht="12">
      <c r="A10" s="28" t="s">
        <v>354</v>
      </c>
      <c r="C10" s="28" t="s">
        <v>12</v>
      </c>
      <c r="E10" s="28" t="s">
        <v>13</v>
      </c>
      <c r="F10" s="2"/>
      <c r="G10" s="10" t="s">
        <v>278</v>
      </c>
      <c r="I10" s="10" t="s">
        <v>75</v>
      </c>
      <c r="K10" s="10" t="s">
        <v>76</v>
      </c>
      <c r="M10" s="10" t="s">
        <v>87</v>
      </c>
      <c r="O10" s="10" t="s">
        <v>77</v>
      </c>
      <c r="Q10" s="10" t="s">
        <v>78</v>
      </c>
      <c r="S10" s="10" t="s">
        <v>79</v>
      </c>
      <c r="U10" s="10" t="s">
        <v>80</v>
      </c>
      <c r="W10" s="10" t="s">
        <v>81</v>
      </c>
      <c r="X10" s="2"/>
      <c r="Y10" s="28" t="s">
        <v>82</v>
      </c>
      <c r="AA10" s="10" t="s">
        <v>83</v>
      </c>
      <c r="AC10" s="28" t="s">
        <v>84</v>
      </c>
      <c r="AD10" s="2"/>
      <c r="AE10" s="28" t="s">
        <v>354</v>
      </c>
      <c r="AG10" s="28" t="s">
        <v>12</v>
      </c>
      <c r="AH10" s="2"/>
      <c r="AI10" s="28" t="s">
        <v>85</v>
      </c>
      <c r="AK10" s="28" t="s">
        <v>87</v>
      </c>
      <c r="AM10" s="28" t="s">
        <v>86</v>
      </c>
      <c r="AO10" s="28" t="s">
        <v>87</v>
      </c>
      <c r="AP10" s="2"/>
      <c r="AQ10" s="28" t="s">
        <v>52</v>
      </c>
      <c r="AR10" s="2"/>
      <c r="AS10" s="28" t="s">
        <v>127</v>
      </c>
      <c r="AT10" s="2"/>
      <c r="AU10" s="28" t="s">
        <v>109</v>
      </c>
      <c r="AV10" s="2"/>
      <c r="AW10" s="28" t="s">
        <v>128</v>
      </c>
      <c r="AX10" s="2"/>
      <c r="AY10" s="28" t="s">
        <v>88</v>
      </c>
      <c r="AZ10" s="2"/>
      <c r="BA10" s="28" t="s">
        <v>134</v>
      </c>
      <c r="BB10" s="2"/>
      <c r="BC10" s="28" t="s">
        <v>120</v>
      </c>
      <c r="BD10" s="28" t="s">
        <v>354</v>
      </c>
      <c r="BF10" s="28" t="s">
        <v>12</v>
      </c>
      <c r="BG10" s="2"/>
      <c r="BH10" s="28" t="s">
        <v>89</v>
      </c>
      <c r="BI10" s="2"/>
      <c r="BJ10" s="28" t="s">
        <v>89</v>
      </c>
      <c r="BK10" s="2"/>
      <c r="BL10" s="28" t="s">
        <v>272</v>
      </c>
      <c r="BM10" s="2"/>
      <c r="BN10" s="28" t="s">
        <v>129</v>
      </c>
      <c r="BO10" s="2"/>
      <c r="BP10" s="28" t="s">
        <v>130</v>
      </c>
      <c r="BQ10" s="2"/>
      <c r="BR10" s="28" t="s">
        <v>122</v>
      </c>
      <c r="BT10" s="28" t="s">
        <v>92</v>
      </c>
      <c r="BV10" s="28" t="s">
        <v>262</v>
      </c>
      <c r="BX10" s="28" t="s">
        <v>92</v>
      </c>
      <c r="BZ10" s="28" t="s">
        <v>20</v>
      </c>
    </row>
    <row r="11" spans="1:80" s="11" customFormat="1" ht="12">
      <c r="A11" s="2"/>
      <c r="C11" s="2"/>
      <c r="E11" s="2"/>
      <c r="F11" s="2"/>
      <c r="G11" s="2"/>
      <c r="I11" s="2"/>
      <c r="K11" s="2"/>
      <c r="M11" s="2"/>
      <c r="O11" s="2"/>
      <c r="Q11" s="2"/>
      <c r="S11" s="2"/>
      <c r="U11" s="2"/>
      <c r="W11" s="2"/>
      <c r="X11" s="2"/>
      <c r="Y11" s="2"/>
      <c r="AA11" s="2"/>
      <c r="AC11" s="2"/>
      <c r="AD11" s="2"/>
      <c r="AE11" s="2"/>
      <c r="AG11" s="2"/>
      <c r="AH11" s="2"/>
      <c r="AI11" s="2"/>
      <c r="AK11" s="2"/>
      <c r="AM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T11" s="2"/>
      <c r="BV11" s="2"/>
      <c r="BX11" s="2"/>
      <c r="BZ11" s="2"/>
    </row>
    <row r="12" spans="1:80">
      <c r="A12" s="39" t="s">
        <v>308</v>
      </c>
      <c r="AE12" s="39" t="s">
        <v>308</v>
      </c>
      <c r="BD12" s="39" t="s">
        <v>308</v>
      </c>
    </row>
    <row r="13" spans="1:80">
      <c r="A13" s="39"/>
      <c r="AE13" s="39"/>
      <c r="BD13" s="39"/>
    </row>
    <row r="14" spans="1:80">
      <c r="A14" s="3" t="s">
        <v>359</v>
      </c>
      <c r="B14" s="3"/>
      <c r="C14" s="3" t="s">
        <v>321</v>
      </c>
      <c r="G14" s="34">
        <v>353869</v>
      </c>
      <c r="H14" s="34"/>
      <c r="I14" s="34">
        <v>152295</v>
      </c>
      <c r="J14" s="34"/>
      <c r="K14" s="34">
        <v>6101471</v>
      </c>
      <c r="L14" s="34"/>
      <c r="M14" s="34">
        <v>2623792</v>
      </c>
      <c r="N14" s="34"/>
      <c r="O14" s="34">
        <v>810635</v>
      </c>
      <c r="P14" s="34"/>
      <c r="Q14" s="34">
        <v>1310668</v>
      </c>
      <c r="R14" s="34"/>
      <c r="S14" s="34">
        <v>42720</v>
      </c>
      <c r="T14" s="34"/>
      <c r="U14" s="34">
        <v>862446</v>
      </c>
      <c r="V14" s="34"/>
      <c r="W14" s="34">
        <v>468769</v>
      </c>
      <c r="X14" s="34"/>
      <c r="Y14" s="34">
        <v>0</v>
      </c>
      <c r="Z14" s="34"/>
      <c r="AA14" s="34">
        <v>1157254</v>
      </c>
      <c r="AC14" s="34">
        <v>10133</v>
      </c>
      <c r="AD14" s="34"/>
      <c r="AE14" s="3" t="s">
        <v>359</v>
      </c>
      <c r="AF14" s="3"/>
      <c r="AG14" s="3" t="s">
        <v>321</v>
      </c>
      <c r="AH14" s="34"/>
      <c r="AI14" s="34">
        <v>426861</v>
      </c>
      <c r="AJ14" s="34"/>
      <c r="AK14" s="34">
        <v>0</v>
      </c>
      <c r="AM14" s="34">
        <v>0</v>
      </c>
      <c r="AN14" s="34"/>
      <c r="AO14" s="34">
        <v>321178</v>
      </c>
      <c r="AP14" s="34"/>
      <c r="AQ14" s="34">
        <v>28301</v>
      </c>
      <c r="AR14" s="34"/>
      <c r="AS14" s="34">
        <v>1032512</v>
      </c>
      <c r="AT14" s="34"/>
      <c r="AU14" s="34">
        <v>0</v>
      </c>
      <c r="AV14" s="34"/>
      <c r="AW14" s="34">
        <v>133840</v>
      </c>
      <c r="AX14" s="34"/>
      <c r="AY14" s="34">
        <v>0</v>
      </c>
      <c r="AZ14" s="34"/>
      <c r="BA14" s="34">
        <v>0</v>
      </c>
      <c r="BB14" s="34"/>
      <c r="BC14" s="62">
        <f>SUM(G14:BA14)</f>
        <v>15836744</v>
      </c>
      <c r="BD14" s="3" t="s">
        <v>359</v>
      </c>
      <c r="BE14" s="3"/>
      <c r="BF14" s="3" t="s">
        <v>321</v>
      </c>
      <c r="BG14" s="34"/>
      <c r="BH14" s="34">
        <v>50000</v>
      </c>
      <c r="BI14" s="34"/>
      <c r="BJ14" s="34">
        <v>0</v>
      </c>
      <c r="BK14" s="34"/>
      <c r="BL14" s="34">
        <v>0</v>
      </c>
      <c r="BM14" s="34"/>
      <c r="BN14" s="34">
        <v>0</v>
      </c>
      <c r="BO14" s="34"/>
      <c r="BP14" s="62">
        <f t="shared" ref="BP14:BP64" si="0">+BC14+BH14+BJ14+BN14+BL14</f>
        <v>15886744</v>
      </c>
      <c r="BQ14" s="34"/>
      <c r="BR14" s="62">
        <f>GovRev!AX14-BP14</f>
        <v>319498</v>
      </c>
      <c r="BS14" s="34"/>
      <c r="BT14" s="34">
        <v>5249345</v>
      </c>
      <c r="BU14" s="34"/>
      <c r="BV14" s="34">
        <v>0</v>
      </c>
      <c r="BW14" s="34"/>
      <c r="BX14" s="62">
        <f>+BT14+BR14+BV14</f>
        <v>5568843</v>
      </c>
      <c r="BY14" s="62"/>
      <c r="BZ14" s="62">
        <f>-BX14+GovBS!AC14</f>
        <v>0</v>
      </c>
      <c r="CA14" s="34"/>
      <c r="CB14" s="34"/>
    </row>
    <row r="15" spans="1:80" s="16" customFormat="1" ht="12">
      <c r="A15" s="3" t="s">
        <v>286</v>
      </c>
      <c r="B15" s="3"/>
      <c r="C15" s="3" t="s">
        <v>151</v>
      </c>
      <c r="D15" s="3"/>
      <c r="E15" s="3">
        <v>62042</v>
      </c>
      <c r="F15" s="3"/>
      <c r="G15" s="3">
        <v>557477</v>
      </c>
      <c r="H15" s="3"/>
      <c r="I15" s="3">
        <v>332104</v>
      </c>
      <c r="J15" s="3"/>
      <c r="K15" s="3">
        <v>2605544</v>
      </c>
      <c r="L15" s="3"/>
      <c r="M15" s="3">
        <f>1359239+15268</f>
        <v>1374507</v>
      </c>
      <c r="N15" s="3"/>
      <c r="O15" s="3">
        <v>178988</v>
      </c>
      <c r="P15" s="3"/>
      <c r="Q15" s="3">
        <v>265732</v>
      </c>
      <c r="R15" s="3"/>
      <c r="S15" s="3">
        <v>70416</v>
      </c>
      <c r="T15" s="3"/>
      <c r="U15" s="3">
        <v>711400</v>
      </c>
      <c r="V15" s="3"/>
      <c r="W15" s="3">
        <v>408809</v>
      </c>
      <c r="X15" s="3"/>
      <c r="Y15" s="3">
        <v>3125</v>
      </c>
      <c r="Z15" s="3"/>
      <c r="AA15" s="3">
        <v>644557</v>
      </c>
      <c r="AC15" s="3">
        <v>6355</v>
      </c>
      <c r="AD15" s="3"/>
      <c r="AE15" s="3" t="s">
        <v>286</v>
      </c>
      <c r="AG15" s="16" t="s">
        <v>151</v>
      </c>
      <c r="AH15" s="3"/>
      <c r="AI15" s="3">
        <v>52867</v>
      </c>
      <c r="AJ15" s="3"/>
      <c r="AK15" s="3">
        <v>0</v>
      </c>
      <c r="AL15" s="3"/>
      <c r="AM15" s="3">
        <v>150797</v>
      </c>
      <c r="AN15" s="3"/>
      <c r="AO15" s="3">
        <v>160374</v>
      </c>
      <c r="AP15" s="3"/>
      <c r="AQ15" s="3">
        <v>29170</v>
      </c>
      <c r="AR15" s="3"/>
      <c r="AS15" s="3">
        <v>15284</v>
      </c>
      <c r="AT15" s="3"/>
      <c r="AU15" s="3">
        <v>788</v>
      </c>
      <c r="AV15" s="3"/>
      <c r="AW15" s="3">
        <v>138560</v>
      </c>
      <c r="AX15" s="3"/>
      <c r="AY15" s="3">
        <v>46077</v>
      </c>
      <c r="AZ15" s="3"/>
      <c r="BA15" s="3">
        <v>0</v>
      </c>
      <c r="BB15" s="3"/>
      <c r="BC15" s="17">
        <f>SUM(G15:BA15)</f>
        <v>7752931</v>
      </c>
      <c r="BD15" s="3" t="s">
        <v>286</v>
      </c>
      <c r="BF15" s="16" t="s">
        <v>151</v>
      </c>
      <c r="BG15" s="3"/>
      <c r="BH15" s="3">
        <v>97350</v>
      </c>
      <c r="BI15" s="3"/>
      <c r="BJ15" s="3"/>
      <c r="BK15" s="3"/>
      <c r="BL15" s="3"/>
      <c r="BM15" s="3"/>
      <c r="BN15" s="3">
        <v>0</v>
      </c>
      <c r="BO15" s="3"/>
      <c r="BP15" s="17">
        <f t="shared" si="0"/>
        <v>7850281</v>
      </c>
      <c r="BQ15" s="3"/>
      <c r="BR15" s="17">
        <f>GovRev!AX15-BP15</f>
        <v>373517</v>
      </c>
      <c r="BS15" s="3"/>
      <c r="BT15" s="3">
        <v>4854785</v>
      </c>
      <c r="BU15" s="3"/>
      <c r="BV15" s="3">
        <v>0</v>
      </c>
      <c r="BW15" s="3"/>
      <c r="BX15" s="17">
        <f>+BT15+BR15+BV15</f>
        <v>5228302</v>
      </c>
      <c r="BY15" s="17"/>
      <c r="BZ15" s="17">
        <f>-BX15+GovBS!AC15</f>
        <v>0</v>
      </c>
    </row>
    <row r="16" spans="1:80" s="16" customFormat="1" ht="12">
      <c r="A16" s="3" t="s">
        <v>237</v>
      </c>
      <c r="B16" s="3"/>
      <c r="C16" s="3" t="s">
        <v>152</v>
      </c>
      <c r="D16" s="3"/>
      <c r="E16" s="3">
        <v>50815</v>
      </c>
      <c r="F16" s="3"/>
      <c r="G16" s="3">
        <v>817362</v>
      </c>
      <c r="H16" s="3"/>
      <c r="I16" s="3">
        <v>386261</v>
      </c>
      <c r="J16" s="3"/>
      <c r="K16" s="3">
        <v>7085103</v>
      </c>
      <c r="L16" s="3"/>
      <c r="M16" s="3">
        <f>349805+709664</f>
        <v>1059469</v>
      </c>
      <c r="N16" s="3"/>
      <c r="O16" s="3">
        <v>567233</v>
      </c>
      <c r="P16" s="3"/>
      <c r="Q16" s="3">
        <v>1508128</v>
      </c>
      <c r="R16" s="3"/>
      <c r="S16" s="3">
        <v>57251</v>
      </c>
      <c r="T16" s="3"/>
      <c r="U16" s="3">
        <v>1082931</v>
      </c>
      <c r="V16" s="3"/>
      <c r="W16" s="3">
        <v>457153</v>
      </c>
      <c r="X16" s="3"/>
      <c r="Y16" s="3">
        <v>67632</v>
      </c>
      <c r="Z16" s="3"/>
      <c r="AA16" s="3">
        <v>1047450</v>
      </c>
      <c r="AC16" s="3">
        <v>42568</v>
      </c>
      <c r="AD16" s="3"/>
      <c r="AE16" s="3" t="s">
        <v>237</v>
      </c>
      <c r="AG16" s="16" t="s">
        <v>152</v>
      </c>
      <c r="AH16" s="3"/>
      <c r="AI16" s="3">
        <v>33525</v>
      </c>
      <c r="AJ16" s="3"/>
      <c r="AK16" s="3">
        <v>0</v>
      </c>
      <c r="AL16" s="3"/>
      <c r="AM16" s="3">
        <v>292518</v>
      </c>
      <c r="AN16" s="3"/>
      <c r="AO16" s="3">
        <v>2038</v>
      </c>
      <c r="AP16" s="3"/>
      <c r="AQ16" s="3">
        <v>23161</v>
      </c>
      <c r="AR16" s="3"/>
      <c r="AS16" s="3">
        <v>531519</v>
      </c>
      <c r="AT16" s="3"/>
      <c r="AU16" s="3">
        <v>0</v>
      </c>
      <c r="AV16" s="3"/>
      <c r="AW16" s="3">
        <v>0</v>
      </c>
      <c r="AX16" s="3"/>
      <c r="AY16" s="3">
        <v>0</v>
      </c>
      <c r="AZ16" s="3"/>
      <c r="BA16" s="3">
        <v>0</v>
      </c>
      <c r="BB16" s="3"/>
      <c r="BC16" s="17">
        <f>SUM(G16:BA16)</f>
        <v>15061302</v>
      </c>
      <c r="BD16" s="3" t="s">
        <v>237</v>
      </c>
      <c r="BF16" s="16" t="s">
        <v>152</v>
      </c>
      <c r="BG16" s="3"/>
      <c r="BH16" s="3">
        <v>113000</v>
      </c>
      <c r="BI16" s="3"/>
      <c r="BJ16" s="3"/>
      <c r="BK16" s="3"/>
      <c r="BL16" s="3"/>
      <c r="BM16" s="3"/>
      <c r="BN16" s="3">
        <v>0</v>
      </c>
      <c r="BO16" s="3"/>
      <c r="BP16" s="17">
        <f t="shared" si="0"/>
        <v>15174302</v>
      </c>
      <c r="BQ16" s="3"/>
      <c r="BR16" s="17">
        <f>GovRev!AX16-BP16</f>
        <v>440659</v>
      </c>
      <c r="BS16" s="3"/>
      <c r="BT16" s="3">
        <v>11785896</v>
      </c>
      <c r="BU16" s="3"/>
      <c r="BV16" s="3">
        <v>0</v>
      </c>
      <c r="BW16" s="3"/>
      <c r="BX16" s="17">
        <f>+BT16+BR16+BV16</f>
        <v>12226555</v>
      </c>
      <c r="BY16" s="17"/>
      <c r="BZ16" s="17">
        <f>-BX16+GovBS!AC16</f>
        <v>0</v>
      </c>
    </row>
    <row r="17" spans="1:78" s="16" customFormat="1" ht="12">
      <c r="A17" s="3" t="s">
        <v>360</v>
      </c>
      <c r="B17" s="3"/>
      <c r="C17" s="3" t="s">
        <v>154</v>
      </c>
      <c r="D17" s="3"/>
      <c r="E17" s="3">
        <v>51169</v>
      </c>
      <c r="F17" s="3"/>
      <c r="G17" s="3">
        <v>0</v>
      </c>
      <c r="H17" s="3"/>
      <c r="I17" s="3">
        <v>454977</v>
      </c>
      <c r="J17" s="3"/>
      <c r="K17" s="3">
        <v>3803336</v>
      </c>
      <c r="L17" s="3"/>
      <c r="M17" s="3">
        <v>1110333</v>
      </c>
      <c r="N17" s="3"/>
      <c r="O17" s="3">
        <v>1048460</v>
      </c>
      <c r="P17" s="3"/>
      <c r="Q17" s="3">
        <v>148367</v>
      </c>
      <c r="R17" s="3"/>
      <c r="S17" s="3">
        <v>100253</v>
      </c>
      <c r="T17" s="3"/>
      <c r="U17" s="3">
        <v>1367632</v>
      </c>
      <c r="V17" s="3"/>
      <c r="W17" s="3">
        <v>503021</v>
      </c>
      <c r="X17" s="3"/>
      <c r="Y17" s="3">
        <v>518</v>
      </c>
      <c r="Z17" s="3"/>
      <c r="AA17" s="3">
        <v>1309077</v>
      </c>
      <c r="AC17" s="3">
        <v>19908</v>
      </c>
      <c r="AD17" s="3"/>
      <c r="AE17" s="3" t="s">
        <v>360</v>
      </c>
      <c r="AG17" s="16" t="s">
        <v>154</v>
      </c>
      <c r="AH17" s="3"/>
      <c r="AI17" s="3">
        <v>548708</v>
      </c>
      <c r="AJ17" s="3"/>
      <c r="AK17" s="3">
        <v>0</v>
      </c>
      <c r="AL17" s="3"/>
      <c r="AM17" s="3">
        <v>0</v>
      </c>
      <c r="AN17" s="3"/>
      <c r="AO17" s="3">
        <v>183379</v>
      </c>
      <c r="AP17" s="3"/>
      <c r="AQ17" s="3">
        <v>199</v>
      </c>
      <c r="AR17" s="3"/>
      <c r="AS17" s="3">
        <v>0</v>
      </c>
      <c r="AT17" s="3"/>
      <c r="AU17" s="3">
        <v>0</v>
      </c>
      <c r="AV17" s="3"/>
      <c r="AW17" s="3">
        <v>0</v>
      </c>
      <c r="AX17" s="3"/>
      <c r="AY17" s="3">
        <v>0</v>
      </c>
      <c r="AZ17" s="3"/>
      <c r="BA17" s="3">
        <v>0</v>
      </c>
      <c r="BB17" s="3"/>
      <c r="BC17" s="17">
        <f t="shared" ref="BC17:BC64" si="1">SUM(G17:BA17)</f>
        <v>10598168</v>
      </c>
      <c r="BD17" s="3" t="s">
        <v>360</v>
      </c>
      <c r="BF17" s="16" t="s">
        <v>154</v>
      </c>
      <c r="BG17" s="3"/>
      <c r="BH17" s="3">
        <v>65819</v>
      </c>
      <c r="BI17" s="3"/>
      <c r="BJ17" s="3"/>
      <c r="BK17" s="3"/>
      <c r="BL17" s="3"/>
      <c r="BM17" s="3"/>
      <c r="BN17" s="3">
        <v>0</v>
      </c>
      <c r="BO17" s="3"/>
      <c r="BP17" s="17">
        <f t="shared" si="0"/>
        <v>10663987</v>
      </c>
      <c r="BQ17" s="3"/>
      <c r="BR17" s="17">
        <f>GovRev!AX17-BP17</f>
        <v>1702133</v>
      </c>
      <c r="BS17" s="3"/>
      <c r="BT17" s="3">
        <v>5206658</v>
      </c>
      <c r="BU17" s="3"/>
      <c r="BV17" s="3">
        <v>0</v>
      </c>
      <c r="BW17" s="3"/>
      <c r="BX17" s="17">
        <f t="shared" ref="BX17:BX81" si="2">+BT17+BR17+BV17</f>
        <v>6908791</v>
      </c>
      <c r="BY17" s="17"/>
      <c r="BZ17" s="17">
        <f>-BX17+GovBS!AC17</f>
        <v>0</v>
      </c>
    </row>
    <row r="18" spans="1:78" s="16" customFormat="1" ht="12">
      <c r="A18" s="3" t="s">
        <v>361</v>
      </c>
      <c r="B18" s="3"/>
      <c r="C18" s="3" t="s">
        <v>157</v>
      </c>
      <c r="D18" s="3"/>
      <c r="E18" s="3">
        <v>50856</v>
      </c>
      <c r="F18" s="3"/>
      <c r="G18" s="3">
        <v>282496</v>
      </c>
      <c r="H18" s="3"/>
      <c r="I18" s="3">
        <v>11450</v>
      </c>
      <c r="J18" s="3"/>
      <c r="K18" s="3">
        <v>3770501</v>
      </c>
      <c r="L18" s="3"/>
      <c r="M18" s="3">
        <v>91766</v>
      </c>
      <c r="N18" s="3"/>
      <c r="O18" s="3">
        <v>887278</v>
      </c>
      <c r="P18" s="3"/>
      <c r="Q18" s="3">
        <v>97055</v>
      </c>
      <c r="R18" s="3"/>
      <c r="S18" s="3">
        <v>36069</v>
      </c>
      <c r="T18" s="3"/>
      <c r="U18" s="3">
        <v>520300</v>
      </c>
      <c r="V18" s="3"/>
      <c r="W18" s="3">
        <v>269054</v>
      </c>
      <c r="X18" s="3"/>
      <c r="Y18" s="3">
        <v>0</v>
      </c>
      <c r="Z18" s="3"/>
      <c r="AA18" s="3">
        <v>585910</v>
      </c>
      <c r="AC18" s="3">
        <v>0</v>
      </c>
      <c r="AD18" s="3"/>
      <c r="AE18" s="3" t="s">
        <v>361</v>
      </c>
      <c r="AG18" s="16" t="s">
        <v>157</v>
      </c>
      <c r="AH18" s="3"/>
      <c r="AI18" s="3">
        <v>183552</v>
      </c>
      <c r="AJ18" s="3"/>
      <c r="AK18" s="3">
        <v>0</v>
      </c>
      <c r="AL18" s="3"/>
      <c r="AM18" s="3">
        <v>202277</v>
      </c>
      <c r="AN18" s="3"/>
      <c r="AO18" s="3">
        <v>0</v>
      </c>
      <c r="AP18" s="3"/>
      <c r="AQ18" s="3">
        <v>28900</v>
      </c>
      <c r="AR18" s="3"/>
      <c r="AS18" s="3">
        <v>59361</v>
      </c>
      <c r="AT18" s="3"/>
      <c r="AU18" s="3">
        <v>0</v>
      </c>
      <c r="AV18" s="3"/>
      <c r="AW18" s="3">
        <v>33333</v>
      </c>
      <c r="AX18" s="3"/>
      <c r="AY18" s="3">
        <v>0</v>
      </c>
      <c r="AZ18" s="3"/>
      <c r="BA18" s="3">
        <v>0</v>
      </c>
      <c r="BB18" s="3"/>
      <c r="BC18" s="17">
        <f t="shared" si="1"/>
        <v>7059302</v>
      </c>
      <c r="BD18" s="3" t="s">
        <v>361</v>
      </c>
      <c r="BF18" s="16" t="s">
        <v>157</v>
      </c>
      <c r="BG18" s="3"/>
      <c r="BH18" s="3">
        <v>0</v>
      </c>
      <c r="BI18" s="3"/>
      <c r="BJ18" s="3"/>
      <c r="BK18" s="3"/>
      <c r="BL18" s="3"/>
      <c r="BM18" s="3"/>
      <c r="BN18" s="3">
        <v>0</v>
      </c>
      <c r="BO18" s="3"/>
      <c r="BP18" s="17">
        <f t="shared" si="0"/>
        <v>7059302</v>
      </c>
      <c r="BQ18" s="3"/>
      <c r="BR18" s="17">
        <f>GovRev!AX18-BP18</f>
        <v>-190280</v>
      </c>
      <c r="BS18" s="3"/>
      <c r="BT18" s="3">
        <v>283828</v>
      </c>
      <c r="BU18" s="3"/>
      <c r="BV18" s="3">
        <v>0</v>
      </c>
      <c r="BW18" s="3"/>
      <c r="BX18" s="17">
        <f t="shared" si="2"/>
        <v>93548</v>
      </c>
      <c r="BY18" s="17"/>
      <c r="BZ18" s="17">
        <f>-BX18+GovBS!AC18</f>
        <v>0</v>
      </c>
    </row>
    <row r="19" spans="1:78" s="16" customFormat="1" ht="12">
      <c r="A19" s="3" t="s">
        <v>256</v>
      </c>
      <c r="B19" s="3"/>
      <c r="C19" s="3" t="s">
        <v>227</v>
      </c>
      <c r="D19" s="3"/>
      <c r="E19" s="3">
        <v>51656</v>
      </c>
      <c r="F19" s="3"/>
      <c r="G19" s="3">
        <v>1233463</v>
      </c>
      <c r="H19" s="3"/>
      <c r="I19" s="3">
        <v>587214</v>
      </c>
      <c r="J19" s="3"/>
      <c r="K19" s="3">
        <v>6114309</v>
      </c>
      <c r="L19" s="3"/>
      <c r="M19" s="3">
        <v>1759597</v>
      </c>
      <c r="N19" s="3"/>
      <c r="O19" s="3">
        <v>848311</v>
      </c>
      <c r="P19" s="3"/>
      <c r="Q19" s="3">
        <v>692021</v>
      </c>
      <c r="R19" s="3"/>
      <c r="S19" s="3">
        <v>115385</v>
      </c>
      <c r="T19" s="3"/>
      <c r="U19" s="3">
        <v>683432</v>
      </c>
      <c r="V19" s="3"/>
      <c r="W19" s="3">
        <v>386132</v>
      </c>
      <c r="X19" s="3"/>
      <c r="Y19" s="3">
        <v>0</v>
      </c>
      <c r="Z19" s="3"/>
      <c r="AA19" s="3">
        <v>1631202</v>
      </c>
      <c r="AC19" s="3">
        <v>5101</v>
      </c>
      <c r="AD19" s="3"/>
      <c r="AE19" s="3" t="s">
        <v>256</v>
      </c>
      <c r="AG19" s="16" t="s">
        <v>227</v>
      </c>
      <c r="AH19" s="3"/>
      <c r="AI19" s="3">
        <v>183260</v>
      </c>
      <c r="AJ19" s="3"/>
      <c r="AK19" s="3">
        <v>0</v>
      </c>
      <c r="AL19" s="3"/>
      <c r="AM19" s="3">
        <v>444181</v>
      </c>
      <c r="AN19" s="3"/>
      <c r="AO19" s="3">
        <v>149</v>
      </c>
      <c r="AP19" s="3"/>
      <c r="AQ19" s="3">
        <v>10414</v>
      </c>
      <c r="AR19" s="3"/>
      <c r="AS19" s="3">
        <v>171</v>
      </c>
      <c r="AT19" s="3"/>
      <c r="AU19" s="3">
        <v>0</v>
      </c>
      <c r="AV19" s="3"/>
      <c r="AW19" s="3">
        <v>44047</v>
      </c>
      <c r="AX19" s="3"/>
      <c r="AY19" s="3">
        <v>16241</v>
      </c>
      <c r="AZ19" s="3"/>
      <c r="BA19" s="3">
        <v>0</v>
      </c>
      <c r="BB19" s="3"/>
      <c r="BC19" s="17">
        <f t="shared" si="1"/>
        <v>14754630</v>
      </c>
      <c r="BD19" s="3" t="s">
        <v>256</v>
      </c>
      <c r="BF19" s="16" t="s">
        <v>227</v>
      </c>
      <c r="BG19" s="3"/>
      <c r="BH19" s="3">
        <v>45400</v>
      </c>
      <c r="BI19" s="3"/>
      <c r="BJ19" s="3"/>
      <c r="BK19" s="3"/>
      <c r="BL19" s="3"/>
      <c r="BM19" s="3"/>
      <c r="BN19" s="3">
        <v>0</v>
      </c>
      <c r="BO19" s="3"/>
      <c r="BP19" s="17">
        <f t="shared" si="0"/>
        <v>14800030</v>
      </c>
      <c r="BQ19" s="3"/>
      <c r="BR19" s="17">
        <f>GovRev!AX19-BP19</f>
        <v>1315192</v>
      </c>
      <c r="BS19" s="3"/>
      <c r="BT19" s="3">
        <v>16315759</v>
      </c>
      <c r="BU19" s="3"/>
      <c r="BV19" s="3">
        <v>0</v>
      </c>
      <c r="BW19" s="3"/>
      <c r="BX19" s="17">
        <f t="shared" si="2"/>
        <v>17630951</v>
      </c>
      <c r="BY19" s="17"/>
      <c r="BZ19" s="17">
        <f>-BX19+GovBS!AC19</f>
        <v>0</v>
      </c>
    </row>
    <row r="20" spans="1:78" s="16" customFormat="1" ht="12">
      <c r="A20" s="3" t="s">
        <v>337</v>
      </c>
      <c r="B20" s="3"/>
      <c r="C20" s="3" t="s">
        <v>155</v>
      </c>
      <c r="D20" s="3"/>
      <c r="E20" s="3">
        <v>50880</v>
      </c>
      <c r="F20" s="3"/>
      <c r="G20" s="3">
        <v>506074</v>
      </c>
      <c r="H20" s="3"/>
      <c r="I20" s="3">
        <v>0</v>
      </c>
      <c r="J20" s="3"/>
      <c r="K20" s="3">
        <v>21247236</v>
      </c>
      <c r="L20" s="3"/>
      <c r="M20" s="3">
        <v>72470</v>
      </c>
      <c r="N20" s="3"/>
      <c r="O20" s="3">
        <v>1768467</v>
      </c>
      <c r="P20" s="3"/>
      <c r="Q20" s="3">
        <v>3132903</v>
      </c>
      <c r="R20" s="3"/>
      <c r="S20" s="3">
        <v>89221</v>
      </c>
      <c r="T20" s="3"/>
      <c r="U20" s="3">
        <v>2706753</v>
      </c>
      <c r="V20" s="3"/>
      <c r="W20" s="3">
        <v>1195069</v>
      </c>
      <c r="X20" s="3"/>
      <c r="Y20" s="3">
        <v>45782</v>
      </c>
      <c r="Z20" s="3"/>
      <c r="AA20" s="3">
        <v>3339782</v>
      </c>
      <c r="AC20" s="3">
        <v>42496</v>
      </c>
      <c r="AD20" s="3"/>
      <c r="AE20" s="3" t="s">
        <v>337</v>
      </c>
      <c r="AG20" s="16" t="s">
        <v>155</v>
      </c>
      <c r="AH20" s="3"/>
      <c r="AI20" s="3">
        <v>2985969</v>
      </c>
      <c r="AJ20" s="3"/>
      <c r="AK20" s="3">
        <v>0</v>
      </c>
      <c r="AL20" s="3"/>
      <c r="AM20" s="3">
        <v>0</v>
      </c>
      <c r="AN20" s="3"/>
      <c r="AO20" s="3">
        <v>89957</v>
      </c>
      <c r="AP20" s="3"/>
      <c r="AQ20" s="3">
        <v>423040</v>
      </c>
      <c r="AR20" s="3"/>
      <c r="AS20" s="3">
        <v>10578015</v>
      </c>
      <c r="AT20" s="3"/>
      <c r="AU20" s="3">
        <v>0</v>
      </c>
      <c r="AV20" s="3"/>
      <c r="AW20" s="3">
        <v>0</v>
      </c>
      <c r="AX20" s="3"/>
      <c r="AY20" s="3">
        <v>125608</v>
      </c>
      <c r="AZ20" s="3"/>
      <c r="BA20" s="3">
        <v>0</v>
      </c>
      <c r="BB20" s="3"/>
      <c r="BC20" s="17">
        <f t="shared" si="1"/>
        <v>48348842</v>
      </c>
      <c r="BD20" s="3" t="s">
        <v>337</v>
      </c>
      <c r="BF20" s="16" t="s">
        <v>155</v>
      </c>
      <c r="BG20" s="3"/>
      <c r="BH20" s="3">
        <v>2474850</v>
      </c>
      <c r="BI20" s="3"/>
      <c r="BJ20" s="3"/>
      <c r="BK20" s="3"/>
      <c r="BL20" s="3"/>
      <c r="BM20" s="3"/>
      <c r="BN20" s="3">
        <v>0</v>
      </c>
      <c r="BO20" s="3"/>
      <c r="BP20" s="17">
        <f t="shared" si="0"/>
        <v>50823692</v>
      </c>
      <c r="BQ20" s="3"/>
      <c r="BR20" s="17">
        <f>GovRev!AX20-BP20</f>
        <v>327373</v>
      </c>
      <c r="BS20" s="3"/>
      <c r="BT20" s="3">
        <v>12770924</v>
      </c>
      <c r="BU20" s="3"/>
      <c r="BV20" s="3">
        <v>0</v>
      </c>
      <c r="BW20" s="3"/>
      <c r="BX20" s="17">
        <f t="shared" si="2"/>
        <v>13098297</v>
      </c>
      <c r="BY20" s="17"/>
      <c r="BZ20" s="17">
        <f>-BX20+GovBS!AC20</f>
        <v>0</v>
      </c>
    </row>
    <row r="21" spans="1:78" s="16" customFormat="1" ht="12" hidden="1">
      <c r="A21" s="3" t="s">
        <v>340</v>
      </c>
      <c r="B21" s="3"/>
      <c r="C21" s="3" t="s">
        <v>248</v>
      </c>
      <c r="D21" s="3"/>
      <c r="E21" s="3">
        <v>63511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C21" s="3"/>
      <c r="AD21" s="3"/>
      <c r="AE21" s="3" t="s">
        <v>247</v>
      </c>
      <c r="AG21" s="16" t="s">
        <v>248</v>
      </c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17">
        <f t="shared" si="1"/>
        <v>0</v>
      </c>
      <c r="BD21" s="3" t="s">
        <v>340</v>
      </c>
      <c r="BF21" s="16" t="s">
        <v>248</v>
      </c>
      <c r="BG21" s="3"/>
      <c r="BH21" s="3"/>
      <c r="BI21" s="3"/>
      <c r="BJ21" s="3"/>
      <c r="BK21" s="3"/>
      <c r="BL21" s="3"/>
      <c r="BM21" s="3"/>
      <c r="BN21" s="3"/>
      <c r="BO21" s="3"/>
      <c r="BP21" s="17">
        <f t="shared" si="0"/>
        <v>0</v>
      </c>
      <c r="BQ21" s="3"/>
      <c r="BR21" s="17">
        <f>GovRev!AX21-BP21</f>
        <v>0</v>
      </c>
      <c r="BS21" s="3"/>
      <c r="BT21" s="3"/>
      <c r="BU21" s="3"/>
      <c r="BV21" s="3"/>
      <c r="BW21" s="3"/>
      <c r="BX21" s="17">
        <f t="shared" si="2"/>
        <v>0</v>
      </c>
      <c r="BY21" s="17"/>
      <c r="BZ21" s="17">
        <f>-BX21+GovBS!AC21</f>
        <v>0</v>
      </c>
    </row>
    <row r="22" spans="1:78" s="16" customFormat="1" ht="12">
      <c r="A22" s="3" t="s">
        <v>338</v>
      </c>
      <c r="B22" s="3"/>
      <c r="C22" s="3" t="s">
        <v>165</v>
      </c>
      <c r="D22" s="3"/>
      <c r="E22" s="3">
        <v>50906</v>
      </c>
      <c r="F22" s="3"/>
      <c r="G22" s="3">
        <v>545186</v>
      </c>
      <c r="H22" s="3"/>
      <c r="I22" s="3">
        <v>194907</v>
      </c>
      <c r="J22" s="3"/>
      <c r="K22" s="3">
        <v>2736692</v>
      </c>
      <c r="L22" s="3"/>
      <c r="M22" s="3">
        <v>108726</v>
      </c>
      <c r="N22" s="3"/>
      <c r="O22" s="3">
        <v>342027</v>
      </c>
      <c r="P22" s="3"/>
      <c r="Q22" s="3">
        <v>500318</v>
      </c>
      <c r="R22" s="3"/>
      <c r="S22" s="3">
        <v>23106</v>
      </c>
      <c r="T22" s="3"/>
      <c r="U22" s="3">
        <v>961401</v>
      </c>
      <c r="V22" s="3"/>
      <c r="W22" s="3">
        <v>305500</v>
      </c>
      <c r="X22" s="3"/>
      <c r="Y22" s="3">
        <v>0</v>
      </c>
      <c r="Z22" s="3"/>
      <c r="AA22" s="3">
        <v>864513</v>
      </c>
      <c r="AC22" s="3">
        <v>0</v>
      </c>
      <c r="AD22" s="3"/>
      <c r="AE22" s="3" t="s">
        <v>338</v>
      </c>
      <c r="AG22" s="16" t="s">
        <v>165</v>
      </c>
      <c r="AH22" s="3"/>
      <c r="AI22" s="3">
        <v>191446</v>
      </c>
      <c r="AJ22" s="3"/>
      <c r="AK22" s="3">
        <v>0</v>
      </c>
      <c r="AL22" s="3"/>
      <c r="AM22" s="3">
        <v>160864</v>
      </c>
      <c r="AN22" s="3"/>
      <c r="AO22" s="3">
        <v>231</v>
      </c>
      <c r="AP22" s="3"/>
      <c r="AQ22" s="3">
        <v>27968</v>
      </c>
      <c r="AR22" s="3"/>
      <c r="AS22" s="3">
        <v>0</v>
      </c>
      <c r="AT22" s="3"/>
      <c r="AU22" s="3">
        <v>0</v>
      </c>
      <c r="AV22" s="3"/>
      <c r="AW22" s="3">
        <v>0</v>
      </c>
      <c r="AX22" s="3"/>
      <c r="AY22" s="3">
        <v>0</v>
      </c>
      <c r="AZ22" s="3"/>
      <c r="BA22" s="3">
        <v>0</v>
      </c>
      <c r="BB22" s="3"/>
      <c r="BC22" s="17">
        <f t="shared" si="1"/>
        <v>6962885</v>
      </c>
      <c r="BD22" s="3" t="s">
        <v>338</v>
      </c>
      <c r="BF22" s="16" t="s">
        <v>165</v>
      </c>
      <c r="BG22" s="3"/>
      <c r="BH22" s="3">
        <v>545700</v>
      </c>
      <c r="BI22" s="3"/>
      <c r="BJ22" s="3"/>
      <c r="BK22" s="3"/>
      <c r="BL22" s="3"/>
      <c r="BM22" s="3"/>
      <c r="BN22" s="3">
        <v>0</v>
      </c>
      <c r="BO22" s="3"/>
      <c r="BP22" s="17">
        <f t="shared" si="0"/>
        <v>7508585</v>
      </c>
      <c r="BQ22" s="3"/>
      <c r="BR22" s="17">
        <f>GovRev!AX22-BP22</f>
        <v>971291</v>
      </c>
      <c r="BS22" s="3"/>
      <c r="BT22" s="3">
        <v>4406465</v>
      </c>
      <c r="BU22" s="3"/>
      <c r="BV22" s="3">
        <v>0</v>
      </c>
      <c r="BW22" s="3"/>
      <c r="BX22" s="17">
        <f t="shared" si="2"/>
        <v>5377756</v>
      </c>
      <c r="BY22" s="17"/>
      <c r="BZ22" s="17">
        <f>-BX22+GovBS!AC22</f>
        <v>0</v>
      </c>
    </row>
    <row r="23" spans="1:78" s="16" customFormat="1" ht="12">
      <c r="A23" s="3" t="s">
        <v>291</v>
      </c>
      <c r="B23" s="3"/>
      <c r="C23" s="3" t="s">
        <v>240</v>
      </c>
      <c r="D23" s="3"/>
      <c r="E23" s="3">
        <v>65227</v>
      </c>
      <c r="F23" s="3"/>
      <c r="G23" s="3">
        <v>535509</v>
      </c>
      <c r="H23" s="3"/>
      <c r="I23" s="3">
        <v>87586</v>
      </c>
      <c r="J23" s="3"/>
      <c r="K23" s="3">
        <v>1465727</v>
      </c>
      <c r="L23" s="3"/>
      <c r="M23" s="3">
        <v>0</v>
      </c>
      <c r="N23" s="3"/>
      <c r="O23" s="3">
        <v>176659</v>
      </c>
      <c r="P23" s="3"/>
      <c r="Q23" s="3">
        <v>237600</v>
      </c>
      <c r="R23" s="3"/>
      <c r="S23" s="3">
        <v>43984</v>
      </c>
      <c r="T23" s="3"/>
      <c r="U23" s="3">
        <v>226864</v>
      </c>
      <c r="V23" s="3"/>
      <c r="W23" s="3">
        <v>153434</v>
      </c>
      <c r="X23" s="3"/>
      <c r="Y23" s="3">
        <v>45005</v>
      </c>
      <c r="Z23" s="3"/>
      <c r="AA23" s="3">
        <v>456531</v>
      </c>
      <c r="AC23" s="3">
        <v>3272</v>
      </c>
      <c r="AD23" s="3"/>
      <c r="AE23" s="3" t="s">
        <v>291</v>
      </c>
      <c r="AG23" s="16" t="s">
        <v>240</v>
      </c>
      <c r="AH23" s="3"/>
      <c r="AI23" s="3">
        <v>14122</v>
      </c>
      <c r="AJ23" s="3"/>
      <c r="AK23" s="3">
        <v>0</v>
      </c>
      <c r="AL23" s="3"/>
      <c r="AM23" s="3">
        <v>111835</v>
      </c>
      <c r="AN23" s="3"/>
      <c r="AO23" s="3">
        <v>0</v>
      </c>
      <c r="AP23" s="3"/>
      <c r="AQ23" s="3">
        <v>17175</v>
      </c>
      <c r="AR23" s="3"/>
      <c r="AS23" s="3">
        <v>33790</v>
      </c>
      <c r="AT23" s="3"/>
      <c r="AU23" s="3">
        <v>0</v>
      </c>
      <c r="AV23" s="3"/>
      <c r="AW23" s="3">
        <v>55179</v>
      </c>
      <c r="AX23" s="3"/>
      <c r="AY23" s="3">
        <v>9793</v>
      </c>
      <c r="AZ23" s="3"/>
      <c r="BA23" s="3">
        <v>0</v>
      </c>
      <c r="BB23" s="3"/>
      <c r="BC23" s="17">
        <f t="shared" si="1"/>
        <v>3674065</v>
      </c>
      <c r="BD23" s="3" t="s">
        <v>291</v>
      </c>
      <c r="BF23" s="16" t="s">
        <v>240</v>
      </c>
      <c r="BG23" s="3"/>
      <c r="BH23" s="3">
        <v>1900</v>
      </c>
      <c r="BI23" s="3"/>
      <c r="BJ23" s="3"/>
      <c r="BK23" s="3"/>
      <c r="BL23" s="3"/>
      <c r="BM23" s="3"/>
      <c r="BN23" s="3">
        <v>0</v>
      </c>
      <c r="BO23" s="3"/>
      <c r="BP23" s="17">
        <f t="shared" si="0"/>
        <v>3675965</v>
      </c>
      <c r="BQ23" s="3"/>
      <c r="BR23" s="17">
        <f>GovRev!AX23-BP23</f>
        <v>306977</v>
      </c>
      <c r="BS23" s="3"/>
      <c r="BT23" s="3">
        <v>91291</v>
      </c>
      <c r="BU23" s="3"/>
      <c r="BV23" s="3">
        <v>0</v>
      </c>
      <c r="BW23" s="3"/>
      <c r="BX23" s="17">
        <f t="shared" si="2"/>
        <v>398268</v>
      </c>
      <c r="BY23" s="17"/>
      <c r="BZ23" s="17">
        <f>-BX23+GovBS!AC23</f>
        <v>0</v>
      </c>
    </row>
    <row r="24" spans="1:78" s="16" customFormat="1" ht="12">
      <c r="A24" s="3" t="s">
        <v>342</v>
      </c>
      <c r="B24" s="3"/>
      <c r="C24" s="3" t="s">
        <v>187</v>
      </c>
      <c r="D24" s="3"/>
      <c r="E24" s="3">
        <v>51201</v>
      </c>
      <c r="F24" s="3"/>
      <c r="G24" s="3">
        <v>190009</v>
      </c>
      <c r="H24" s="3"/>
      <c r="I24" s="3">
        <v>511748</v>
      </c>
      <c r="J24" s="3"/>
      <c r="K24" s="3">
        <v>6731973</v>
      </c>
      <c r="L24" s="3"/>
      <c r="M24" s="3">
        <v>2213452</v>
      </c>
      <c r="N24" s="3"/>
      <c r="O24" s="3">
        <v>735540</v>
      </c>
      <c r="P24" s="3"/>
      <c r="Q24" s="3">
        <v>982657</v>
      </c>
      <c r="R24" s="3"/>
      <c r="S24" s="3">
        <v>27322</v>
      </c>
      <c r="T24" s="3"/>
      <c r="U24" s="3">
        <v>1014998</v>
      </c>
      <c r="V24" s="3"/>
      <c r="W24" s="3">
        <v>319357</v>
      </c>
      <c r="X24" s="3"/>
      <c r="Y24" s="3">
        <v>450184</v>
      </c>
      <c r="Z24" s="3"/>
      <c r="AA24" s="3">
        <v>1577505</v>
      </c>
      <c r="AC24" s="3">
        <v>16658</v>
      </c>
      <c r="AD24" s="3"/>
      <c r="AE24" s="3" t="s">
        <v>342</v>
      </c>
      <c r="AG24" s="16" t="s">
        <v>187</v>
      </c>
      <c r="AH24" s="3"/>
      <c r="AI24" s="3">
        <v>1635541</v>
      </c>
      <c r="AJ24" s="3"/>
      <c r="AK24" s="3">
        <v>0</v>
      </c>
      <c r="AL24" s="3"/>
      <c r="AM24" s="3">
        <v>281169</v>
      </c>
      <c r="AN24" s="3"/>
      <c r="AO24" s="3">
        <v>1169</v>
      </c>
      <c r="AP24" s="3"/>
      <c r="AQ24" s="3">
        <v>76567</v>
      </c>
      <c r="AR24" s="3"/>
      <c r="AS24" s="3">
        <v>9450</v>
      </c>
      <c r="AT24" s="3"/>
      <c r="AU24" s="3">
        <v>0</v>
      </c>
      <c r="AV24" s="3"/>
      <c r="AW24" s="3">
        <v>744279</v>
      </c>
      <c r="AX24" s="3"/>
      <c r="AY24" s="3">
        <f>824268+369333</f>
        <v>1193601</v>
      </c>
      <c r="AZ24" s="3"/>
      <c r="BA24" s="3">
        <v>0</v>
      </c>
      <c r="BB24" s="3"/>
      <c r="BC24" s="17">
        <f t="shared" si="1"/>
        <v>18713179</v>
      </c>
      <c r="BD24" s="3" t="s">
        <v>342</v>
      </c>
      <c r="BF24" s="16" t="s">
        <v>187</v>
      </c>
      <c r="BG24" s="3"/>
      <c r="BH24" s="3">
        <v>6980</v>
      </c>
      <c r="BI24" s="3"/>
      <c r="BJ24" s="3"/>
      <c r="BK24" s="3"/>
      <c r="BL24" s="3"/>
      <c r="BM24" s="3"/>
      <c r="BN24" s="3">
        <f>20097673+3300000</f>
        <v>23397673</v>
      </c>
      <c r="BO24" s="3"/>
      <c r="BP24" s="17">
        <f t="shared" si="0"/>
        <v>42117832</v>
      </c>
      <c r="BQ24" s="3"/>
      <c r="BR24" s="17">
        <f>GovRev!AX24-BP24</f>
        <v>4480110</v>
      </c>
      <c r="BS24" s="3"/>
      <c r="BT24" s="3">
        <v>2465956</v>
      </c>
      <c r="BU24" s="3"/>
      <c r="BV24" s="3">
        <v>0</v>
      </c>
      <c r="BW24" s="3"/>
      <c r="BX24" s="17">
        <f t="shared" si="2"/>
        <v>6946066</v>
      </c>
      <c r="BY24" s="17"/>
      <c r="BZ24" s="17">
        <f>-BX24+GovBS!AC24</f>
        <v>0</v>
      </c>
    </row>
    <row r="25" spans="1:78" s="16" customFormat="1" ht="12">
      <c r="A25" s="3" t="s">
        <v>288</v>
      </c>
      <c r="B25" s="3"/>
      <c r="C25" s="3" t="s">
        <v>167</v>
      </c>
      <c r="D25" s="3"/>
      <c r="E25" s="3">
        <v>50922</v>
      </c>
      <c r="F25" s="3"/>
      <c r="G25" s="3">
        <v>714324</v>
      </c>
      <c r="H25" s="3"/>
      <c r="I25" s="3">
        <v>233594</v>
      </c>
      <c r="J25" s="3"/>
      <c r="K25" s="3">
        <v>4782739</v>
      </c>
      <c r="L25" s="3"/>
      <c r="M25" s="3">
        <v>1626274</v>
      </c>
      <c r="N25" s="3"/>
      <c r="O25" s="3">
        <v>647765</v>
      </c>
      <c r="P25" s="3"/>
      <c r="Q25" s="3">
        <v>1514065</v>
      </c>
      <c r="R25" s="3"/>
      <c r="S25" s="3">
        <v>29798</v>
      </c>
      <c r="T25" s="3"/>
      <c r="U25" s="3">
        <v>2090065</v>
      </c>
      <c r="V25" s="3"/>
      <c r="W25" s="3">
        <v>904003</v>
      </c>
      <c r="X25" s="3"/>
      <c r="Y25" s="3">
        <v>746532</v>
      </c>
      <c r="Z25" s="3"/>
      <c r="AA25" s="3">
        <v>1426907</v>
      </c>
      <c r="AC25" s="3">
        <v>20222</v>
      </c>
      <c r="AD25" s="3"/>
      <c r="AE25" s="3" t="s">
        <v>288</v>
      </c>
      <c r="AG25" s="16" t="s">
        <v>167</v>
      </c>
      <c r="AH25" s="3"/>
      <c r="AI25" s="3">
        <v>267879</v>
      </c>
      <c r="AJ25" s="3"/>
      <c r="AK25" s="3">
        <v>0</v>
      </c>
      <c r="AL25" s="3"/>
      <c r="AM25" s="3">
        <v>192004</v>
      </c>
      <c r="AN25" s="3"/>
      <c r="AO25" s="3">
        <v>4061</v>
      </c>
      <c r="AP25" s="3"/>
      <c r="AQ25" s="3">
        <v>71189</v>
      </c>
      <c r="AR25" s="3"/>
      <c r="AS25" s="3">
        <v>1645166</v>
      </c>
      <c r="AT25" s="3"/>
      <c r="AU25" s="3">
        <f>293992+1910529</f>
        <v>2204521</v>
      </c>
      <c r="AV25" s="3"/>
      <c r="AW25" s="3">
        <v>0</v>
      </c>
      <c r="AX25" s="3"/>
      <c r="AY25" s="3">
        <v>0</v>
      </c>
      <c r="AZ25" s="3"/>
      <c r="BA25" s="3">
        <v>0</v>
      </c>
      <c r="BB25" s="3"/>
      <c r="BC25" s="17">
        <f t="shared" si="1"/>
        <v>19121108</v>
      </c>
      <c r="BD25" s="3" t="s">
        <v>288</v>
      </c>
      <c r="BF25" s="16" t="s">
        <v>167</v>
      </c>
      <c r="BG25" s="3"/>
      <c r="BH25" s="3">
        <v>300000</v>
      </c>
      <c r="BI25" s="3"/>
      <c r="BJ25" s="3"/>
      <c r="BK25" s="3"/>
      <c r="BL25" s="3"/>
      <c r="BM25" s="3"/>
      <c r="BN25" s="3">
        <v>0</v>
      </c>
      <c r="BO25" s="3"/>
      <c r="BP25" s="17">
        <f t="shared" si="0"/>
        <v>19421108</v>
      </c>
      <c r="BQ25" s="3"/>
      <c r="BR25" s="17">
        <f>GovRev!AX25-BP25</f>
        <v>-1282885</v>
      </c>
      <c r="BS25" s="3"/>
      <c r="BT25" s="3">
        <v>15449773</v>
      </c>
      <c r="BU25" s="3"/>
      <c r="BV25" s="3">
        <v>-3526</v>
      </c>
      <c r="BW25" s="3"/>
      <c r="BX25" s="17">
        <f t="shared" si="2"/>
        <v>14163362</v>
      </c>
      <c r="BY25" s="17"/>
      <c r="BZ25" s="17">
        <f>-BX25+GovBS!AC25</f>
        <v>0</v>
      </c>
    </row>
    <row r="26" spans="1:78" s="16" customFormat="1" ht="12">
      <c r="A26" s="3" t="s">
        <v>287</v>
      </c>
      <c r="B26" s="3"/>
      <c r="C26" s="3" t="s">
        <v>171</v>
      </c>
      <c r="D26" s="3"/>
      <c r="E26" s="3">
        <v>50989</v>
      </c>
      <c r="F26" s="3"/>
      <c r="G26" s="3">
        <v>1128523</v>
      </c>
      <c r="H26" s="3"/>
      <c r="I26" s="3">
        <v>229107</v>
      </c>
      <c r="J26" s="3"/>
      <c r="K26" s="3">
        <v>5547778</v>
      </c>
      <c r="L26" s="3"/>
      <c r="M26" s="3">
        <f>890467+108203</f>
        <v>998670</v>
      </c>
      <c r="N26" s="3"/>
      <c r="O26" s="3">
        <v>684258</v>
      </c>
      <c r="P26" s="3"/>
      <c r="Q26" s="3">
        <v>919911</v>
      </c>
      <c r="R26" s="3"/>
      <c r="S26" s="3">
        <v>140149</v>
      </c>
      <c r="T26" s="3"/>
      <c r="U26" s="3">
        <v>1370150</v>
      </c>
      <c r="V26" s="3"/>
      <c r="W26" s="3">
        <v>734357</v>
      </c>
      <c r="X26" s="3"/>
      <c r="Y26" s="3">
        <v>0</v>
      </c>
      <c r="Z26" s="3"/>
      <c r="AA26" s="3">
        <v>1373987</v>
      </c>
      <c r="AC26" s="3">
        <v>23321</v>
      </c>
      <c r="AD26" s="3"/>
      <c r="AE26" s="3" t="s">
        <v>287</v>
      </c>
      <c r="AG26" s="16" t="s">
        <v>171</v>
      </c>
      <c r="AH26" s="3"/>
      <c r="AI26" s="3">
        <v>968337</v>
      </c>
      <c r="AJ26" s="3"/>
      <c r="AK26" s="3">
        <v>0</v>
      </c>
      <c r="AL26" s="3"/>
      <c r="AM26" s="3">
        <v>185547</v>
      </c>
      <c r="AN26" s="3"/>
      <c r="AO26" s="3">
        <v>2194</v>
      </c>
      <c r="AP26" s="3"/>
      <c r="AQ26" s="3">
        <v>30633</v>
      </c>
      <c r="AR26" s="3"/>
      <c r="AS26" s="3">
        <v>536910</v>
      </c>
      <c r="AT26" s="3"/>
      <c r="AU26" s="3">
        <v>0</v>
      </c>
      <c r="AV26" s="3"/>
      <c r="AW26" s="3">
        <v>33333</v>
      </c>
      <c r="AX26" s="3"/>
      <c r="AY26" s="3">
        <v>0</v>
      </c>
      <c r="AZ26" s="3"/>
      <c r="BA26" s="3">
        <v>0</v>
      </c>
      <c r="BB26" s="3"/>
      <c r="BC26" s="17">
        <f t="shared" si="1"/>
        <v>14907165</v>
      </c>
      <c r="BD26" s="3" t="s">
        <v>287</v>
      </c>
      <c r="BF26" s="16" t="s">
        <v>171</v>
      </c>
      <c r="BG26" s="3"/>
      <c r="BH26" s="3">
        <v>756119</v>
      </c>
      <c r="BI26" s="3"/>
      <c r="BJ26" s="3"/>
      <c r="BK26" s="3"/>
      <c r="BL26" s="3"/>
      <c r="BM26" s="3"/>
      <c r="BN26" s="3">
        <v>0</v>
      </c>
      <c r="BO26" s="3"/>
      <c r="BP26" s="17">
        <f t="shared" si="0"/>
        <v>15663284</v>
      </c>
      <c r="BQ26" s="3"/>
      <c r="BR26" s="17">
        <f>GovRev!AX26-BP26</f>
        <v>4443509</v>
      </c>
      <c r="BS26" s="3"/>
      <c r="BT26" s="3">
        <v>15225476</v>
      </c>
      <c r="BU26" s="3"/>
      <c r="BV26" s="3">
        <v>0</v>
      </c>
      <c r="BW26" s="3"/>
      <c r="BX26" s="17">
        <f t="shared" si="2"/>
        <v>19668985</v>
      </c>
      <c r="BY26" s="17"/>
      <c r="BZ26" s="17">
        <f>-BX26+GovBS!AC26</f>
        <v>0</v>
      </c>
    </row>
    <row r="27" spans="1:78" s="16" customFormat="1" ht="12">
      <c r="A27" s="3" t="s">
        <v>289</v>
      </c>
      <c r="B27" s="3"/>
      <c r="C27" s="3" t="s">
        <v>175</v>
      </c>
      <c r="D27" s="3"/>
      <c r="E27" s="3">
        <v>51003</v>
      </c>
      <c r="F27" s="3"/>
      <c r="G27" s="3">
        <v>3618893</v>
      </c>
      <c r="H27" s="3"/>
      <c r="I27" s="3">
        <v>1423306</v>
      </c>
      <c r="J27" s="3"/>
      <c r="K27" s="3">
        <v>7501108</v>
      </c>
      <c r="L27" s="3"/>
      <c r="M27" s="3">
        <f>216183+686186</f>
        <v>902369</v>
      </c>
      <c r="N27" s="3"/>
      <c r="O27" s="3">
        <v>821800</v>
      </c>
      <c r="P27" s="3"/>
      <c r="Q27" s="3">
        <v>465573</v>
      </c>
      <c r="R27" s="3"/>
      <c r="S27" s="3">
        <v>32488</v>
      </c>
      <c r="T27" s="3"/>
      <c r="U27" s="3">
        <v>2531039</v>
      </c>
      <c r="V27" s="3"/>
      <c r="W27" s="3">
        <v>785149</v>
      </c>
      <c r="X27" s="3"/>
      <c r="Y27" s="3">
        <v>29208</v>
      </c>
      <c r="Z27" s="3"/>
      <c r="AA27" s="3">
        <v>1202381</v>
      </c>
      <c r="AC27" s="3">
        <v>48219</v>
      </c>
      <c r="AD27" s="3"/>
      <c r="AE27" s="3" t="s">
        <v>289</v>
      </c>
      <c r="AG27" s="16" t="s">
        <v>175</v>
      </c>
      <c r="AH27" s="3"/>
      <c r="AI27" s="3">
        <v>490052</v>
      </c>
      <c r="AJ27" s="3"/>
      <c r="AK27" s="3">
        <v>0</v>
      </c>
      <c r="AL27" s="3"/>
      <c r="AM27" s="3">
        <v>0</v>
      </c>
      <c r="AN27" s="3"/>
      <c r="AO27" s="3">
        <v>360313</v>
      </c>
      <c r="AP27" s="3"/>
      <c r="AQ27" s="3">
        <v>37640</v>
      </c>
      <c r="AR27" s="3"/>
      <c r="AS27" s="3">
        <v>5480243</v>
      </c>
      <c r="AT27" s="3"/>
      <c r="AU27" s="3">
        <v>0</v>
      </c>
      <c r="AV27" s="3"/>
      <c r="AW27" s="3">
        <v>168008</v>
      </c>
      <c r="AX27" s="3"/>
      <c r="AY27" s="3">
        <v>20141</v>
      </c>
      <c r="AZ27" s="3"/>
      <c r="BA27" s="3">
        <v>0</v>
      </c>
      <c r="BB27" s="3"/>
      <c r="BC27" s="17">
        <f t="shared" si="1"/>
        <v>25917930</v>
      </c>
      <c r="BD27" s="3" t="s">
        <v>289</v>
      </c>
      <c r="BF27" s="16" t="s">
        <v>175</v>
      </c>
      <c r="BG27" s="3"/>
      <c r="BH27" s="3">
        <v>502563</v>
      </c>
      <c r="BI27" s="3"/>
      <c r="BJ27" s="3"/>
      <c r="BK27" s="3"/>
      <c r="BL27" s="3"/>
      <c r="BM27" s="3"/>
      <c r="BN27" s="3">
        <v>0</v>
      </c>
      <c r="BO27" s="3"/>
      <c r="BP27" s="17">
        <f t="shared" si="0"/>
        <v>26420493</v>
      </c>
      <c r="BQ27" s="3"/>
      <c r="BR27" s="17">
        <f>GovRev!AX27-BP27</f>
        <v>-3659237</v>
      </c>
      <c r="BS27" s="3"/>
      <c r="BT27" s="3">
        <v>23322482</v>
      </c>
      <c r="BU27" s="3"/>
      <c r="BV27" s="3">
        <v>0</v>
      </c>
      <c r="BW27" s="3"/>
      <c r="BX27" s="17">
        <f t="shared" si="2"/>
        <v>19663245</v>
      </c>
      <c r="BY27" s="17"/>
      <c r="BZ27" s="17">
        <f>-BX27+GovBS!AC27</f>
        <v>0</v>
      </c>
    </row>
    <row r="28" spans="1:78" s="16" customFormat="1" ht="12">
      <c r="A28" s="3" t="s">
        <v>290</v>
      </c>
      <c r="B28" s="3"/>
      <c r="C28" s="3" t="s">
        <v>172</v>
      </c>
      <c r="D28" s="3"/>
      <c r="E28" s="3">
        <v>51029</v>
      </c>
      <c r="F28" s="3"/>
      <c r="G28" s="3">
        <v>867918</v>
      </c>
      <c r="H28" s="3"/>
      <c r="I28" s="3">
        <v>448710</v>
      </c>
      <c r="J28" s="3"/>
      <c r="K28" s="3">
        <v>5168228</v>
      </c>
      <c r="L28" s="3"/>
      <c r="M28" s="3">
        <v>4783719</v>
      </c>
      <c r="N28" s="3"/>
      <c r="O28" s="3">
        <v>987753</v>
      </c>
      <c r="P28" s="3"/>
      <c r="Q28" s="3">
        <v>281783</v>
      </c>
      <c r="R28" s="3"/>
      <c r="S28" s="3">
        <v>59955</v>
      </c>
      <c r="T28" s="3"/>
      <c r="U28" s="3">
        <v>2132698</v>
      </c>
      <c r="V28" s="3"/>
      <c r="W28" s="3">
        <v>491251</v>
      </c>
      <c r="X28" s="3"/>
      <c r="Y28" s="3">
        <v>236830</v>
      </c>
      <c r="Z28" s="3"/>
      <c r="AA28" s="3">
        <v>1560984</v>
      </c>
      <c r="AC28" s="3">
        <v>15895</v>
      </c>
      <c r="AD28" s="3"/>
      <c r="AE28" s="3" t="s">
        <v>290</v>
      </c>
      <c r="AG28" s="16" t="s">
        <v>172</v>
      </c>
      <c r="AH28" s="3"/>
      <c r="AI28" s="3">
        <v>432488</v>
      </c>
      <c r="AJ28" s="3"/>
      <c r="AK28" s="3">
        <v>0</v>
      </c>
      <c r="AL28" s="3"/>
      <c r="AM28" s="3">
        <v>350741</v>
      </c>
      <c r="AN28" s="3"/>
      <c r="AO28" s="3">
        <v>239824</v>
      </c>
      <c r="AP28" s="3"/>
      <c r="AQ28" s="3">
        <v>0</v>
      </c>
      <c r="AR28" s="3"/>
      <c r="AS28" s="3">
        <v>1136614</v>
      </c>
      <c r="AT28" s="3"/>
      <c r="AU28" s="3">
        <v>0</v>
      </c>
      <c r="AV28" s="3"/>
      <c r="AW28" s="3">
        <v>110000</v>
      </c>
      <c r="AX28" s="3"/>
      <c r="AY28" s="3">
        <v>68626</v>
      </c>
      <c r="AZ28" s="3"/>
      <c r="BA28" s="3">
        <v>0</v>
      </c>
      <c r="BB28" s="3"/>
      <c r="BC28" s="17">
        <f t="shared" si="1"/>
        <v>19374017</v>
      </c>
      <c r="BD28" s="3" t="s">
        <v>290</v>
      </c>
      <c r="BF28" s="16" t="s">
        <v>172</v>
      </c>
      <c r="BG28" s="3"/>
      <c r="BH28" s="3">
        <v>161000</v>
      </c>
      <c r="BI28" s="3"/>
      <c r="BJ28" s="3"/>
      <c r="BK28" s="3"/>
      <c r="BL28" s="3"/>
      <c r="BM28" s="3"/>
      <c r="BN28" s="3">
        <v>0</v>
      </c>
      <c r="BO28" s="3"/>
      <c r="BP28" s="17">
        <f t="shared" si="0"/>
        <v>19535017</v>
      </c>
      <c r="BQ28" s="3"/>
      <c r="BR28" s="17">
        <f>GovRev!AX28-BP28</f>
        <v>1078580</v>
      </c>
      <c r="BS28" s="3"/>
      <c r="BT28" s="3">
        <v>5628478</v>
      </c>
      <c r="BU28" s="3"/>
      <c r="BV28" s="3">
        <v>-15389</v>
      </c>
      <c r="BW28" s="3"/>
      <c r="BX28" s="17">
        <f t="shared" si="2"/>
        <v>6691669</v>
      </c>
      <c r="BY28" s="17"/>
      <c r="BZ28" s="17">
        <f>-BX28+GovBS!AC28</f>
        <v>0</v>
      </c>
    </row>
    <row r="29" spans="1:78" s="16" customFormat="1" ht="12">
      <c r="A29" s="3" t="s">
        <v>292</v>
      </c>
      <c r="B29" s="3"/>
      <c r="C29" s="3" t="s">
        <v>242</v>
      </c>
      <c r="D29" s="3"/>
      <c r="E29" s="3">
        <v>50963</v>
      </c>
      <c r="F29" s="3"/>
      <c r="G29" s="3">
        <v>37777</v>
      </c>
      <c r="H29" s="3"/>
      <c r="I29" s="3">
        <v>0</v>
      </c>
      <c r="J29" s="3"/>
      <c r="K29" s="3">
        <v>9067263</v>
      </c>
      <c r="L29" s="3"/>
      <c r="M29" s="3">
        <v>1240371</v>
      </c>
      <c r="N29" s="3"/>
      <c r="O29" s="3">
        <v>1351611</v>
      </c>
      <c r="P29" s="3"/>
      <c r="Q29" s="3">
        <v>620868</v>
      </c>
      <c r="R29" s="3"/>
      <c r="S29" s="3">
        <v>50528</v>
      </c>
      <c r="T29" s="3"/>
      <c r="U29" s="3">
        <v>1432984</v>
      </c>
      <c r="V29" s="3"/>
      <c r="W29" s="3">
        <v>476177</v>
      </c>
      <c r="X29" s="3"/>
      <c r="Y29" s="3">
        <v>68954</v>
      </c>
      <c r="Z29" s="3"/>
      <c r="AA29" s="3">
        <v>1853208</v>
      </c>
      <c r="AC29" s="3">
        <v>94646</v>
      </c>
      <c r="AD29" s="3"/>
      <c r="AE29" s="3" t="s">
        <v>292</v>
      </c>
      <c r="AG29" s="16" t="s">
        <v>242</v>
      </c>
      <c r="AH29" s="3"/>
      <c r="AI29" s="3">
        <v>507086</v>
      </c>
      <c r="AJ29" s="3"/>
      <c r="AK29" s="3">
        <v>0</v>
      </c>
      <c r="AL29" s="3"/>
      <c r="AM29" s="3">
        <v>0</v>
      </c>
      <c r="AN29" s="3"/>
      <c r="AO29" s="3">
        <v>465252</v>
      </c>
      <c r="AP29" s="3"/>
      <c r="AQ29" s="3">
        <v>61681</v>
      </c>
      <c r="AR29" s="3"/>
      <c r="AS29" s="3">
        <v>30900</v>
      </c>
      <c r="AT29" s="3"/>
      <c r="AU29" s="3">
        <v>0</v>
      </c>
      <c r="AV29" s="3"/>
      <c r="AW29" s="3">
        <v>123862</v>
      </c>
      <c r="AX29" s="3"/>
      <c r="AY29" s="3">
        <v>0</v>
      </c>
      <c r="AZ29" s="3"/>
      <c r="BA29" s="3">
        <v>0</v>
      </c>
      <c r="BB29" s="3"/>
      <c r="BC29" s="17">
        <f t="shared" si="1"/>
        <v>17483168</v>
      </c>
      <c r="BD29" s="3" t="s">
        <v>292</v>
      </c>
      <c r="BF29" s="16" t="s">
        <v>242</v>
      </c>
      <c r="BG29" s="3"/>
      <c r="BH29" s="3">
        <v>2925000</v>
      </c>
      <c r="BI29" s="3"/>
      <c r="BJ29" s="3"/>
      <c r="BK29" s="3"/>
      <c r="BL29" s="3"/>
      <c r="BM29" s="3"/>
      <c r="BN29" s="3">
        <v>0</v>
      </c>
      <c r="BO29" s="3"/>
      <c r="BP29" s="17">
        <f t="shared" si="0"/>
        <v>20408168</v>
      </c>
      <c r="BQ29" s="3"/>
      <c r="BR29" s="17">
        <f>GovRev!AX29-BP29</f>
        <v>-184650</v>
      </c>
      <c r="BS29" s="3"/>
      <c r="BT29" s="3">
        <v>12034945</v>
      </c>
      <c r="BU29" s="3"/>
      <c r="BV29" s="3">
        <v>0</v>
      </c>
      <c r="BW29" s="3"/>
      <c r="BX29" s="17">
        <f t="shared" si="2"/>
        <v>11850295</v>
      </c>
      <c r="BY29" s="17"/>
      <c r="BZ29" s="17">
        <f>-BX29+GovBS!AC29</f>
        <v>0</v>
      </c>
    </row>
    <row r="30" spans="1:78" s="16" customFormat="1" ht="12">
      <c r="A30" s="3" t="s">
        <v>241</v>
      </c>
      <c r="B30" s="3"/>
      <c r="C30" s="3" t="s">
        <v>178</v>
      </c>
      <c r="D30" s="3"/>
      <c r="E30" s="3">
        <v>62067</v>
      </c>
      <c r="F30" s="3"/>
      <c r="G30" s="3">
        <v>126682</v>
      </c>
      <c r="H30" s="3"/>
      <c r="I30" s="3">
        <v>887331</v>
      </c>
      <c r="J30" s="3"/>
      <c r="K30" s="3">
        <v>4799103</v>
      </c>
      <c r="L30" s="3"/>
      <c r="M30" s="3">
        <v>662173</v>
      </c>
      <c r="N30" s="3"/>
      <c r="O30" s="3">
        <v>443789</v>
      </c>
      <c r="P30" s="3"/>
      <c r="Q30" s="3">
        <v>422636</v>
      </c>
      <c r="R30" s="3"/>
      <c r="S30" s="3">
        <v>95008</v>
      </c>
      <c r="T30" s="3"/>
      <c r="U30" s="3">
        <v>524229</v>
      </c>
      <c r="V30" s="3"/>
      <c r="W30" s="3">
        <v>355629</v>
      </c>
      <c r="X30" s="3"/>
      <c r="Y30" s="3">
        <v>56944</v>
      </c>
      <c r="Z30" s="3"/>
      <c r="AA30" s="3">
        <v>2342067</v>
      </c>
      <c r="AC30" s="3">
        <v>15465</v>
      </c>
      <c r="AD30" s="3"/>
      <c r="AE30" s="3" t="s">
        <v>241</v>
      </c>
      <c r="AG30" s="16" t="s">
        <v>178</v>
      </c>
      <c r="AH30" s="3"/>
      <c r="AI30" s="3">
        <v>253755</v>
      </c>
      <c r="AJ30" s="3"/>
      <c r="AK30" s="3">
        <v>0</v>
      </c>
      <c r="AL30" s="3"/>
      <c r="AM30" s="3">
        <v>200243</v>
      </c>
      <c r="AN30" s="3"/>
      <c r="AO30" s="3">
        <v>0</v>
      </c>
      <c r="AP30" s="3"/>
      <c r="AQ30" s="3">
        <v>18750</v>
      </c>
      <c r="AR30" s="3"/>
      <c r="AS30" s="3">
        <v>3422939</v>
      </c>
      <c r="AT30" s="3"/>
      <c r="AU30" s="3">
        <v>0</v>
      </c>
      <c r="AV30" s="3"/>
      <c r="AW30" s="3">
        <v>204000</v>
      </c>
      <c r="AX30" s="3"/>
      <c r="AY30" s="3">
        <v>66259</v>
      </c>
      <c r="AZ30" s="3"/>
      <c r="BA30" s="3">
        <v>0</v>
      </c>
      <c r="BB30" s="3"/>
      <c r="BC30" s="17">
        <f t="shared" si="1"/>
        <v>14897002</v>
      </c>
      <c r="BD30" s="3" t="s">
        <v>241</v>
      </c>
      <c r="BF30" s="16" t="s">
        <v>178</v>
      </c>
      <c r="BG30" s="3"/>
      <c r="BH30" s="3">
        <v>2393558</v>
      </c>
      <c r="BI30" s="3"/>
      <c r="BJ30" s="3"/>
      <c r="BK30" s="3"/>
      <c r="BL30" s="3"/>
      <c r="BM30" s="3"/>
      <c r="BN30" s="3">
        <v>0</v>
      </c>
      <c r="BO30" s="3"/>
      <c r="BP30" s="17">
        <f t="shared" si="0"/>
        <v>17290560</v>
      </c>
      <c r="BQ30" s="3"/>
      <c r="BR30" s="17">
        <f>GovRev!AX30-BP30</f>
        <v>-4487949</v>
      </c>
      <c r="BS30" s="3"/>
      <c r="BT30" s="3">
        <v>10541027</v>
      </c>
      <c r="BU30" s="3"/>
      <c r="BV30" s="3">
        <v>0</v>
      </c>
      <c r="BW30" s="3"/>
      <c r="BX30" s="17">
        <f t="shared" si="2"/>
        <v>6053078</v>
      </c>
      <c r="BY30" s="17"/>
      <c r="BZ30" s="17">
        <f>-BX30+GovBS!AC30</f>
        <v>0</v>
      </c>
    </row>
    <row r="31" spans="1:78" s="16" customFormat="1" ht="12">
      <c r="A31" s="3" t="s">
        <v>374</v>
      </c>
      <c r="B31" s="3"/>
      <c r="C31" s="3" t="s">
        <v>181</v>
      </c>
      <c r="D31" s="3"/>
      <c r="E31" s="3">
        <v>51060</v>
      </c>
      <c r="F31" s="3"/>
      <c r="G31" s="3">
        <v>129252</v>
      </c>
      <c r="H31" s="3"/>
      <c r="I31" s="3">
        <v>0</v>
      </c>
      <c r="J31" s="3"/>
      <c r="K31" s="3">
        <v>34075861</v>
      </c>
      <c r="L31" s="3"/>
      <c r="M31" s="3">
        <v>7044175</v>
      </c>
      <c r="N31" s="3"/>
      <c r="O31" s="3">
        <v>3366114</v>
      </c>
      <c r="P31" s="3"/>
      <c r="Q31" s="3">
        <v>4832294</v>
      </c>
      <c r="R31" s="3"/>
      <c r="S31" s="3">
        <v>454281</v>
      </c>
      <c r="T31" s="3"/>
      <c r="U31" s="3">
        <v>4291866</v>
      </c>
      <c r="V31" s="3"/>
      <c r="W31" s="3">
        <v>2608541</v>
      </c>
      <c r="X31" s="3"/>
      <c r="Y31" s="3">
        <v>898583</v>
      </c>
      <c r="Z31" s="3"/>
      <c r="AA31" s="3">
        <v>7841215</v>
      </c>
      <c r="AC31" s="3">
        <v>387489</v>
      </c>
      <c r="AD31" s="3"/>
      <c r="AE31" s="3" t="s">
        <v>374</v>
      </c>
      <c r="AG31" s="16" t="s">
        <v>181</v>
      </c>
      <c r="AH31" s="3"/>
      <c r="AI31" s="3">
        <v>5128814</v>
      </c>
      <c r="AJ31" s="3"/>
      <c r="AK31" s="3">
        <v>0</v>
      </c>
      <c r="AL31" s="3"/>
      <c r="AM31" s="3">
        <v>0</v>
      </c>
      <c r="AN31" s="3"/>
      <c r="AO31" s="3">
        <v>2467614</v>
      </c>
      <c r="AP31" s="3"/>
      <c r="AQ31" s="3">
        <v>0</v>
      </c>
      <c r="AR31" s="3"/>
      <c r="AS31" s="3">
        <v>20038159</v>
      </c>
      <c r="AT31" s="3"/>
      <c r="AU31" s="3">
        <v>0</v>
      </c>
      <c r="AV31" s="3"/>
      <c r="AW31" s="3">
        <v>3470000</v>
      </c>
      <c r="AX31" s="3"/>
      <c r="AY31" s="3">
        <f>507918+138895</f>
        <v>646813</v>
      </c>
      <c r="AZ31" s="3"/>
      <c r="BA31" s="3">
        <v>0</v>
      </c>
      <c r="BB31" s="3"/>
      <c r="BC31" s="17">
        <f>SUM(G31:BA31)</f>
        <v>97681071</v>
      </c>
      <c r="BD31" s="3" t="s">
        <v>374</v>
      </c>
      <c r="BF31" s="16" t="s">
        <v>181</v>
      </c>
      <c r="BG31" s="3"/>
      <c r="BH31" s="3">
        <v>26576668</v>
      </c>
      <c r="BI31" s="3"/>
      <c r="BJ31" s="3"/>
      <c r="BK31" s="3"/>
      <c r="BL31" s="3"/>
      <c r="BM31" s="3"/>
      <c r="BN31" s="3">
        <v>0</v>
      </c>
      <c r="BO31" s="3"/>
      <c r="BP31" s="17">
        <f t="shared" si="0"/>
        <v>124257739</v>
      </c>
      <c r="BQ31" s="3"/>
      <c r="BR31" s="17">
        <f>GovRev!AX31-BP31</f>
        <v>-14256821</v>
      </c>
      <c r="BS31" s="3"/>
      <c r="BT31" s="3">
        <v>69183445</v>
      </c>
      <c r="BU31" s="3"/>
      <c r="BV31" s="3">
        <v>0</v>
      </c>
      <c r="BW31" s="3"/>
      <c r="BX31" s="17">
        <f t="shared" si="2"/>
        <v>54926624</v>
      </c>
      <c r="BY31" s="17"/>
      <c r="BZ31" s="17">
        <f>-BX31+GovBS!AC31</f>
        <v>0</v>
      </c>
    </row>
    <row r="32" spans="1:78" s="16" customFormat="1" ht="12">
      <c r="A32" s="3" t="s">
        <v>375</v>
      </c>
      <c r="B32" s="3"/>
      <c r="C32" s="3" t="s">
        <v>180</v>
      </c>
      <c r="D32" s="3"/>
      <c r="E32" s="3">
        <v>51045</v>
      </c>
      <c r="F32" s="3"/>
      <c r="G32" s="3">
        <v>839596</v>
      </c>
      <c r="H32" s="3"/>
      <c r="I32" s="3">
        <v>0</v>
      </c>
      <c r="J32" s="3"/>
      <c r="K32" s="3">
        <v>8313039</v>
      </c>
      <c r="L32" s="3"/>
      <c r="M32" s="3">
        <v>0</v>
      </c>
      <c r="N32" s="3"/>
      <c r="O32" s="3">
        <v>917366</v>
      </c>
      <c r="P32" s="3"/>
      <c r="Q32" s="3">
        <v>2020723</v>
      </c>
      <c r="R32" s="3"/>
      <c r="S32" s="3">
        <v>164114</v>
      </c>
      <c r="T32" s="3"/>
      <c r="U32" s="3">
        <v>811206</v>
      </c>
      <c r="V32" s="3"/>
      <c r="W32" s="3">
        <v>544228</v>
      </c>
      <c r="X32" s="3"/>
      <c r="Y32" s="3">
        <v>0</v>
      </c>
      <c r="Z32" s="3"/>
      <c r="AA32" s="3">
        <v>1467617</v>
      </c>
      <c r="AC32" s="3">
        <v>0</v>
      </c>
      <c r="AD32" s="3"/>
      <c r="AE32" s="3" t="s">
        <v>375</v>
      </c>
      <c r="AG32" s="16" t="s">
        <v>180</v>
      </c>
      <c r="AH32" s="3"/>
      <c r="AI32" s="3">
        <v>240791</v>
      </c>
      <c r="AJ32" s="3"/>
      <c r="AK32" s="3">
        <v>0</v>
      </c>
      <c r="AL32" s="3"/>
      <c r="AM32" s="3">
        <v>0</v>
      </c>
      <c r="AN32" s="3"/>
      <c r="AO32" s="3">
        <v>266561</v>
      </c>
      <c r="AP32" s="3"/>
      <c r="AQ32" s="3">
        <v>39857</v>
      </c>
      <c r="AR32" s="3"/>
      <c r="AS32" s="3">
        <v>419262</v>
      </c>
      <c r="AT32" s="3"/>
      <c r="AU32" s="3">
        <v>0</v>
      </c>
      <c r="AV32" s="3"/>
      <c r="AW32" s="3">
        <v>38105</v>
      </c>
      <c r="AX32" s="3"/>
      <c r="AY32" s="3">
        <v>0</v>
      </c>
      <c r="AZ32" s="3"/>
      <c r="BA32" s="3">
        <v>0</v>
      </c>
      <c r="BB32" s="3"/>
      <c r="BC32" s="17">
        <f t="shared" si="1"/>
        <v>16082465</v>
      </c>
      <c r="BD32" s="3" t="s">
        <v>375</v>
      </c>
      <c r="BF32" s="16" t="s">
        <v>180</v>
      </c>
      <c r="BG32" s="3"/>
      <c r="BH32" s="3">
        <v>164523</v>
      </c>
      <c r="BI32" s="3"/>
      <c r="BJ32" s="3"/>
      <c r="BK32" s="3"/>
      <c r="BL32" s="3"/>
      <c r="BM32" s="3"/>
      <c r="BN32" s="3">
        <v>0</v>
      </c>
      <c r="BO32" s="3"/>
      <c r="BP32" s="17">
        <f t="shared" si="0"/>
        <v>16246988</v>
      </c>
      <c r="BQ32" s="3"/>
      <c r="BR32" s="17">
        <f>GovRev!AX32-BP32</f>
        <v>1293484</v>
      </c>
      <c r="BS32" s="3"/>
      <c r="BT32" s="3">
        <v>7881150</v>
      </c>
      <c r="BU32" s="3"/>
      <c r="BV32" s="3">
        <v>0</v>
      </c>
      <c r="BW32" s="3"/>
      <c r="BX32" s="17">
        <f t="shared" si="2"/>
        <v>9174634</v>
      </c>
      <c r="BY32" s="17"/>
      <c r="BZ32" s="17">
        <f>-BX32+GovBS!AC32</f>
        <v>0</v>
      </c>
    </row>
    <row r="33" spans="1:78" s="16" customFormat="1" ht="12">
      <c r="A33" s="3" t="s">
        <v>243</v>
      </c>
      <c r="B33" s="3"/>
      <c r="C33" s="3" t="s">
        <v>183</v>
      </c>
      <c r="D33" s="3"/>
      <c r="E33" s="3">
        <v>51128</v>
      </c>
      <c r="F33" s="3"/>
      <c r="G33" s="3">
        <v>355425</v>
      </c>
      <c r="H33" s="3"/>
      <c r="I33" s="3">
        <v>229720</v>
      </c>
      <c r="J33" s="3"/>
      <c r="K33" s="3">
        <v>2892194</v>
      </c>
      <c r="L33" s="3"/>
      <c r="M33" s="3">
        <f>10431+3907</f>
        <v>14338</v>
      </c>
      <c r="N33" s="3"/>
      <c r="O33" s="3">
        <v>160999</v>
      </c>
      <c r="P33" s="3"/>
      <c r="Q33" s="3">
        <v>377581</v>
      </c>
      <c r="R33" s="3"/>
      <c r="S33" s="3">
        <v>39224</v>
      </c>
      <c r="T33" s="3"/>
      <c r="U33" s="3">
        <v>233304</v>
      </c>
      <c r="V33" s="3"/>
      <c r="W33" s="3">
        <v>294290</v>
      </c>
      <c r="X33" s="3"/>
      <c r="Y33" s="3">
        <v>0</v>
      </c>
      <c r="Z33" s="3"/>
      <c r="AA33" s="3">
        <v>650006</v>
      </c>
      <c r="AC33" s="3">
        <v>0</v>
      </c>
      <c r="AD33" s="3"/>
      <c r="AE33" s="3" t="s">
        <v>243</v>
      </c>
      <c r="AG33" s="16" t="s">
        <v>183</v>
      </c>
      <c r="AH33" s="3"/>
      <c r="AI33" s="3">
        <v>24185</v>
      </c>
      <c r="AJ33" s="3"/>
      <c r="AK33" s="3">
        <v>0</v>
      </c>
      <c r="AL33" s="3"/>
      <c r="AM33" s="3">
        <v>164691</v>
      </c>
      <c r="AN33" s="3"/>
      <c r="AO33" s="3">
        <v>0</v>
      </c>
      <c r="AP33" s="3"/>
      <c r="AQ33" s="3">
        <v>0</v>
      </c>
      <c r="AR33" s="3"/>
      <c r="AS33" s="3">
        <v>828961</v>
      </c>
      <c r="AT33" s="3"/>
      <c r="AU33" s="3">
        <v>0</v>
      </c>
      <c r="AV33" s="3"/>
      <c r="AW33" s="3">
        <v>0</v>
      </c>
      <c r="AX33" s="3"/>
      <c r="AY33" s="3">
        <f>2112+21150</f>
        <v>23262</v>
      </c>
      <c r="AZ33" s="3"/>
      <c r="BA33" s="3">
        <v>0</v>
      </c>
      <c r="BB33" s="3"/>
      <c r="BC33" s="17">
        <f t="shared" si="1"/>
        <v>6288180</v>
      </c>
      <c r="BD33" s="3" t="s">
        <v>243</v>
      </c>
      <c r="BF33" s="16" t="s">
        <v>183</v>
      </c>
      <c r="BG33" s="3"/>
      <c r="BH33" s="3">
        <v>19869</v>
      </c>
      <c r="BI33" s="3"/>
      <c r="BJ33" s="3"/>
      <c r="BK33" s="3"/>
      <c r="BL33" s="3"/>
      <c r="BM33" s="3"/>
      <c r="BN33" s="3">
        <v>0</v>
      </c>
      <c r="BO33" s="3"/>
      <c r="BP33" s="17">
        <f t="shared" si="0"/>
        <v>6308049</v>
      </c>
      <c r="BQ33" s="3"/>
      <c r="BR33" s="17">
        <f>GovRev!AX33-BP33</f>
        <v>289296</v>
      </c>
      <c r="BS33" s="3"/>
      <c r="BT33" s="3">
        <v>-115967</v>
      </c>
      <c r="BU33" s="3"/>
      <c r="BV33" s="3">
        <v>0</v>
      </c>
      <c r="BW33" s="3"/>
      <c r="BX33" s="17">
        <f t="shared" si="2"/>
        <v>173329</v>
      </c>
      <c r="BY33" s="17"/>
      <c r="BZ33" s="17">
        <f>-BX33+GovBS!AC33</f>
        <v>0</v>
      </c>
    </row>
    <row r="34" spans="1:78" s="16" customFormat="1" ht="12">
      <c r="A34" s="3" t="s">
        <v>293</v>
      </c>
      <c r="B34" s="3"/>
      <c r="C34" s="3" t="s">
        <v>184</v>
      </c>
      <c r="D34" s="3"/>
      <c r="E34" s="3">
        <v>51144</v>
      </c>
      <c r="F34" s="3"/>
      <c r="G34" s="3">
        <v>162361</v>
      </c>
      <c r="H34" s="3"/>
      <c r="I34" s="3">
        <v>0</v>
      </c>
      <c r="J34" s="3"/>
      <c r="K34" s="3">
        <v>5355771</v>
      </c>
      <c r="L34" s="3"/>
      <c r="M34" s="3">
        <v>1398046</v>
      </c>
      <c r="N34" s="3"/>
      <c r="O34" s="3">
        <v>603178</v>
      </c>
      <c r="P34" s="3"/>
      <c r="Q34" s="3">
        <v>767803</v>
      </c>
      <c r="R34" s="3"/>
      <c r="S34" s="3">
        <v>16405</v>
      </c>
      <c r="T34" s="3"/>
      <c r="U34" s="3">
        <v>941801</v>
      </c>
      <c r="V34" s="3"/>
      <c r="W34" s="3">
        <v>401829</v>
      </c>
      <c r="X34" s="3"/>
      <c r="Y34" s="3">
        <v>52677</v>
      </c>
      <c r="Z34" s="3"/>
      <c r="AA34" s="3">
        <v>1194673</v>
      </c>
      <c r="AC34" s="3">
        <v>0</v>
      </c>
      <c r="AD34" s="3"/>
      <c r="AE34" s="3" t="s">
        <v>293</v>
      </c>
      <c r="AG34" s="16" t="s">
        <v>184</v>
      </c>
      <c r="AH34" s="3"/>
      <c r="AI34" s="3">
        <v>70074</v>
      </c>
      <c r="AJ34" s="3"/>
      <c r="AK34" s="3">
        <v>0</v>
      </c>
      <c r="AL34" s="3"/>
      <c r="AM34" s="3">
        <v>0</v>
      </c>
      <c r="AN34" s="3"/>
      <c r="AO34" s="3">
        <v>169380</v>
      </c>
      <c r="AP34" s="3"/>
      <c r="AQ34" s="3">
        <v>33984</v>
      </c>
      <c r="AR34" s="3"/>
      <c r="AS34" s="3">
        <v>2207793</v>
      </c>
      <c r="AT34" s="3"/>
      <c r="AU34" s="3">
        <v>0</v>
      </c>
      <c r="AV34" s="3"/>
      <c r="AW34" s="3">
        <v>212061</v>
      </c>
      <c r="AX34" s="3"/>
      <c r="AY34" s="3">
        <v>227854</v>
      </c>
      <c r="AZ34" s="3"/>
      <c r="BA34" s="3">
        <v>0</v>
      </c>
      <c r="BB34" s="3"/>
      <c r="BC34" s="17">
        <f t="shared" si="1"/>
        <v>13815690</v>
      </c>
      <c r="BD34" s="3" t="s">
        <v>293</v>
      </c>
      <c r="BF34" s="16" t="s">
        <v>184</v>
      </c>
      <c r="BG34" s="3"/>
      <c r="BH34" s="3">
        <v>759591</v>
      </c>
      <c r="BI34" s="3"/>
      <c r="BJ34" s="3"/>
      <c r="BK34" s="3"/>
      <c r="BL34" s="3"/>
      <c r="BM34" s="3"/>
      <c r="BN34" s="3">
        <v>0</v>
      </c>
      <c r="BO34" s="3"/>
      <c r="BP34" s="17">
        <f t="shared" si="0"/>
        <v>14575281</v>
      </c>
      <c r="BQ34" s="3"/>
      <c r="BR34" s="17">
        <f>GovRev!AX34-BP34</f>
        <v>-1945893</v>
      </c>
      <c r="BS34" s="3"/>
      <c r="BT34" s="3">
        <v>15376057</v>
      </c>
      <c r="BU34" s="3"/>
      <c r="BV34" s="3">
        <v>0</v>
      </c>
      <c r="BW34" s="3"/>
      <c r="BX34" s="17">
        <f t="shared" si="2"/>
        <v>13430164</v>
      </c>
      <c r="BY34" s="17"/>
      <c r="BZ34" s="17">
        <f>-BX34+GovBS!AC34</f>
        <v>0</v>
      </c>
    </row>
    <row r="35" spans="1:78" s="16" customFormat="1" ht="12">
      <c r="A35" s="3" t="s">
        <v>244</v>
      </c>
      <c r="B35" s="3"/>
      <c r="C35" s="3" t="s">
        <v>185</v>
      </c>
      <c r="D35" s="3"/>
      <c r="E35" s="3">
        <v>51185</v>
      </c>
      <c r="F35" s="3"/>
      <c r="G35" s="3">
        <v>159327</v>
      </c>
      <c r="H35" s="3"/>
      <c r="I35" s="3">
        <v>0</v>
      </c>
      <c r="J35" s="3"/>
      <c r="K35" s="3">
        <v>5830263</v>
      </c>
      <c r="L35" s="3"/>
      <c r="M35" s="3">
        <v>2116414</v>
      </c>
      <c r="N35" s="3"/>
      <c r="O35" s="3">
        <v>525342</v>
      </c>
      <c r="P35" s="3"/>
      <c r="Q35" s="3">
        <v>265978</v>
      </c>
      <c r="R35" s="3"/>
      <c r="S35" s="3">
        <v>45204</v>
      </c>
      <c r="T35" s="3"/>
      <c r="U35" s="3">
        <v>877862</v>
      </c>
      <c r="V35" s="3"/>
      <c r="W35" s="3">
        <v>593647</v>
      </c>
      <c r="X35" s="3"/>
      <c r="Y35" s="3">
        <v>0</v>
      </c>
      <c r="Z35" s="3"/>
      <c r="AA35" s="3">
        <v>839779</v>
      </c>
      <c r="AB35" s="3"/>
      <c r="AC35" s="3">
        <v>0</v>
      </c>
      <c r="AD35" s="3"/>
      <c r="AE35" s="3" t="s">
        <v>244</v>
      </c>
      <c r="AG35" s="16" t="s">
        <v>185</v>
      </c>
      <c r="AH35" s="3"/>
      <c r="AI35" s="3">
        <v>315515</v>
      </c>
      <c r="AJ35" s="3"/>
      <c r="AK35" s="3">
        <v>0</v>
      </c>
      <c r="AL35" s="3"/>
      <c r="AM35" s="3">
        <v>287852</v>
      </c>
      <c r="AN35" s="3"/>
      <c r="AO35" s="3">
        <v>1190292</v>
      </c>
      <c r="AP35" s="3"/>
      <c r="AQ35" s="3">
        <v>44972</v>
      </c>
      <c r="AR35" s="3"/>
      <c r="AS35" s="3">
        <v>0</v>
      </c>
      <c r="AT35" s="3"/>
      <c r="AU35" s="3">
        <v>0</v>
      </c>
      <c r="AV35" s="3"/>
      <c r="AW35" s="3">
        <v>29056</v>
      </c>
      <c r="AX35" s="3"/>
      <c r="AY35" s="3">
        <f>696+135565</f>
        <v>136261</v>
      </c>
      <c r="AZ35" s="3"/>
      <c r="BA35" s="3">
        <v>0</v>
      </c>
      <c r="BB35" s="3"/>
      <c r="BC35" s="17">
        <f t="shared" si="1"/>
        <v>13257764</v>
      </c>
      <c r="BD35" s="3" t="s">
        <v>244</v>
      </c>
      <c r="BF35" s="16" t="s">
        <v>185</v>
      </c>
      <c r="BG35" s="3"/>
      <c r="BH35" s="3">
        <v>367216</v>
      </c>
      <c r="BI35" s="3"/>
      <c r="BJ35" s="3"/>
      <c r="BK35" s="3"/>
      <c r="BL35" s="3"/>
      <c r="BM35" s="3"/>
      <c r="BN35" s="3">
        <v>0</v>
      </c>
      <c r="BO35" s="3"/>
      <c r="BP35" s="17">
        <f t="shared" si="0"/>
        <v>13624980</v>
      </c>
      <c r="BQ35" s="3"/>
      <c r="BR35" s="17">
        <f>GovRev!AX35-BP35</f>
        <v>6405485</v>
      </c>
      <c r="BS35" s="3"/>
      <c r="BT35" s="3">
        <v>6945582</v>
      </c>
      <c r="BU35" s="3"/>
      <c r="BV35" s="3">
        <v>0</v>
      </c>
      <c r="BW35" s="3"/>
      <c r="BX35" s="17">
        <f t="shared" si="2"/>
        <v>13351067</v>
      </c>
      <c r="BY35" s="17"/>
      <c r="BZ35" s="17">
        <f>-BX35+GovBS!AC35</f>
        <v>0</v>
      </c>
    </row>
    <row r="36" spans="1:78" s="16" customFormat="1" ht="12" hidden="1">
      <c r="A36" s="3" t="s">
        <v>319</v>
      </c>
      <c r="B36" s="3"/>
      <c r="C36" s="3" t="s">
        <v>187</v>
      </c>
      <c r="D36" s="3"/>
      <c r="E36" s="3">
        <v>47977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 t="s">
        <v>319</v>
      </c>
      <c r="AG36" s="16" t="s">
        <v>187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17">
        <f t="shared" si="1"/>
        <v>0</v>
      </c>
      <c r="BD36" s="3" t="s">
        <v>319</v>
      </c>
      <c r="BF36" s="16" t="s">
        <v>187</v>
      </c>
      <c r="BG36" s="3"/>
      <c r="BH36" s="3"/>
      <c r="BI36" s="3"/>
      <c r="BJ36" s="3"/>
      <c r="BK36" s="3"/>
      <c r="BL36" s="3"/>
      <c r="BM36" s="3"/>
      <c r="BN36" s="3"/>
      <c r="BO36" s="3"/>
      <c r="BP36" s="17">
        <f t="shared" si="0"/>
        <v>0</v>
      </c>
      <c r="BQ36" s="3"/>
      <c r="BR36" s="17">
        <f>GovRev!AX36-BP36</f>
        <v>0</v>
      </c>
      <c r="BS36" s="3"/>
      <c r="BT36" s="3"/>
      <c r="BU36" s="3"/>
      <c r="BV36" s="3"/>
      <c r="BW36" s="3"/>
      <c r="BX36" s="17">
        <f t="shared" si="2"/>
        <v>0</v>
      </c>
      <c r="BY36" s="17"/>
      <c r="BZ36" s="17">
        <f>-BX36+GovBS!AC36</f>
        <v>0</v>
      </c>
    </row>
    <row r="37" spans="1:78" s="16" customFormat="1" ht="12">
      <c r="A37" s="3" t="s">
        <v>246</v>
      </c>
      <c r="B37" s="3"/>
      <c r="C37" s="3" t="s">
        <v>150</v>
      </c>
      <c r="D37" s="3"/>
      <c r="E37" s="3">
        <v>51227</v>
      </c>
      <c r="F37" s="3"/>
      <c r="G37" s="3">
        <v>1937137</v>
      </c>
      <c r="H37" s="3"/>
      <c r="I37" s="3">
        <v>6962</v>
      </c>
      <c r="J37" s="3"/>
      <c r="K37" s="3">
        <v>9900458</v>
      </c>
      <c r="L37" s="3"/>
      <c r="M37" s="3">
        <v>1716216</v>
      </c>
      <c r="N37" s="3"/>
      <c r="O37" s="3">
        <v>1627345</v>
      </c>
      <c r="P37" s="3"/>
      <c r="Q37" s="3">
        <v>1722284</v>
      </c>
      <c r="R37" s="3"/>
      <c r="S37" s="3">
        <v>36640</v>
      </c>
      <c r="T37" s="3"/>
      <c r="U37" s="3">
        <v>1570954</v>
      </c>
      <c r="V37" s="3"/>
      <c r="W37" s="3">
        <v>652207</v>
      </c>
      <c r="X37" s="3"/>
      <c r="Y37" s="3">
        <v>132683</v>
      </c>
      <c r="Z37" s="3"/>
      <c r="AA37" s="3">
        <v>3586404</v>
      </c>
      <c r="AC37" s="3">
        <v>56740</v>
      </c>
      <c r="AD37" s="3"/>
      <c r="AE37" s="3" t="s">
        <v>246</v>
      </c>
      <c r="AG37" s="16" t="s">
        <v>150</v>
      </c>
      <c r="AH37" s="3"/>
      <c r="AI37" s="3">
        <v>433620</v>
      </c>
      <c r="AJ37" s="3"/>
      <c r="AK37" s="3">
        <v>0</v>
      </c>
      <c r="AL37" s="3"/>
      <c r="AM37" s="3">
        <v>125027</v>
      </c>
      <c r="AN37" s="3"/>
      <c r="AO37" s="3">
        <v>418067</v>
      </c>
      <c r="AP37" s="3"/>
      <c r="AQ37" s="3">
        <v>306237</v>
      </c>
      <c r="AR37" s="3"/>
      <c r="AS37" s="3">
        <v>54246</v>
      </c>
      <c r="AT37" s="3"/>
      <c r="AU37" s="3">
        <v>0</v>
      </c>
      <c r="AV37" s="3"/>
      <c r="AW37" s="3">
        <v>0</v>
      </c>
      <c r="AX37" s="3"/>
      <c r="AY37" s="3">
        <v>0</v>
      </c>
      <c r="AZ37" s="3"/>
      <c r="BA37" s="3">
        <v>0</v>
      </c>
      <c r="BB37" s="3"/>
      <c r="BC37" s="17">
        <f t="shared" si="1"/>
        <v>24283227</v>
      </c>
      <c r="BD37" s="3" t="s">
        <v>246</v>
      </c>
      <c r="BF37" s="16" t="s">
        <v>150</v>
      </c>
      <c r="BG37" s="3"/>
      <c r="BH37" s="3">
        <v>800000</v>
      </c>
      <c r="BI37" s="3"/>
      <c r="BJ37" s="3"/>
      <c r="BK37" s="3"/>
      <c r="BL37" s="3"/>
      <c r="BM37" s="3"/>
      <c r="BN37" s="3">
        <v>50000</v>
      </c>
      <c r="BO37" s="3"/>
      <c r="BP37" s="17">
        <f t="shared" si="0"/>
        <v>25133227</v>
      </c>
      <c r="BQ37" s="3"/>
      <c r="BR37" s="17">
        <f>GovRev!AX37-BP37</f>
        <v>-158730</v>
      </c>
      <c r="BS37" s="3"/>
      <c r="BT37" s="3">
        <v>10533506</v>
      </c>
      <c r="BU37" s="3"/>
      <c r="BV37" s="3">
        <v>0</v>
      </c>
      <c r="BW37" s="3"/>
      <c r="BX37" s="17">
        <f t="shared" si="2"/>
        <v>10374776</v>
      </c>
      <c r="BY37" s="17"/>
      <c r="BZ37" s="17">
        <f>-BX37+GovBS!AC37</f>
        <v>0</v>
      </c>
    </row>
    <row r="38" spans="1:78" s="16" customFormat="1" ht="12">
      <c r="A38" s="3" t="s">
        <v>249</v>
      </c>
      <c r="B38" s="3"/>
      <c r="C38" s="3" t="s">
        <v>191</v>
      </c>
      <c r="D38" s="3"/>
      <c r="E38" s="3">
        <v>51243</v>
      </c>
      <c r="F38" s="3"/>
      <c r="G38" s="3">
        <v>1282412</v>
      </c>
      <c r="H38" s="3"/>
      <c r="I38" s="3">
        <v>0</v>
      </c>
      <c r="J38" s="3"/>
      <c r="K38" s="3">
        <v>3201043</v>
      </c>
      <c r="L38" s="3"/>
      <c r="M38" s="3">
        <v>642567</v>
      </c>
      <c r="N38" s="3"/>
      <c r="O38" s="3">
        <v>1126168</v>
      </c>
      <c r="P38" s="3"/>
      <c r="Q38" s="3">
        <v>1230760</v>
      </c>
      <c r="R38" s="3"/>
      <c r="S38" s="3">
        <v>42870</v>
      </c>
      <c r="T38" s="3"/>
      <c r="U38" s="3">
        <v>819099</v>
      </c>
      <c r="V38" s="3"/>
      <c r="W38" s="3">
        <v>354550</v>
      </c>
      <c r="X38" s="3"/>
      <c r="Y38" s="3">
        <v>1897</v>
      </c>
      <c r="Z38" s="3"/>
      <c r="AA38" s="3">
        <v>1149061</v>
      </c>
      <c r="AC38" s="3">
        <v>36274</v>
      </c>
      <c r="AD38" s="3"/>
      <c r="AE38" s="3" t="s">
        <v>249</v>
      </c>
      <c r="AG38" s="16" t="s">
        <v>191</v>
      </c>
      <c r="AH38" s="3"/>
      <c r="AI38" s="3">
        <v>163649</v>
      </c>
      <c r="AJ38" s="3"/>
      <c r="AK38" s="3">
        <v>793</v>
      </c>
      <c r="AL38" s="3"/>
      <c r="AM38" s="3">
        <v>271988</v>
      </c>
      <c r="AN38" s="3"/>
      <c r="AO38" s="3">
        <v>0</v>
      </c>
      <c r="AP38" s="3"/>
      <c r="AQ38" s="3">
        <v>71212</v>
      </c>
      <c r="AR38" s="3"/>
      <c r="AS38" s="3">
        <v>8877212</v>
      </c>
      <c r="AT38" s="3"/>
      <c r="AU38" s="3">
        <v>0</v>
      </c>
      <c r="AV38" s="3"/>
      <c r="AW38" s="3">
        <f>465000+750000</f>
        <v>1215000</v>
      </c>
      <c r="AX38" s="3"/>
      <c r="AY38" s="3">
        <v>767665</v>
      </c>
      <c r="AZ38" s="3"/>
      <c r="BA38" s="3">
        <v>0</v>
      </c>
      <c r="BB38" s="3"/>
      <c r="BC38" s="17">
        <f t="shared" si="1"/>
        <v>21254220</v>
      </c>
      <c r="BD38" s="3" t="s">
        <v>249</v>
      </c>
      <c r="BF38" s="16" t="s">
        <v>191</v>
      </c>
      <c r="BG38" s="3"/>
      <c r="BH38" s="3">
        <v>901706</v>
      </c>
      <c r="BI38" s="3"/>
      <c r="BJ38" s="3">
        <v>0</v>
      </c>
      <c r="BK38" s="3"/>
      <c r="BL38" s="3">
        <v>0</v>
      </c>
      <c r="BM38" s="3"/>
      <c r="BN38" s="3">
        <f>15958742+53037</f>
        <v>16011779</v>
      </c>
      <c r="BO38" s="3"/>
      <c r="BP38" s="17">
        <f t="shared" si="0"/>
        <v>38167705</v>
      </c>
      <c r="BQ38" s="3"/>
      <c r="BR38" s="17">
        <f>GovRev!AX38-BP38</f>
        <v>-6002269</v>
      </c>
      <c r="BS38" s="3"/>
      <c r="BT38" s="3">
        <v>26018097</v>
      </c>
      <c r="BU38" s="3"/>
      <c r="BV38" s="3">
        <v>0</v>
      </c>
      <c r="BW38" s="3"/>
      <c r="BX38" s="17">
        <f t="shared" si="2"/>
        <v>20015828</v>
      </c>
      <c r="BY38" s="17"/>
      <c r="BZ38" s="17">
        <f>-BX38+GovBS!AC38</f>
        <v>0</v>
      </c>
    </row>
    <row r="39" spans="1:78" s="16" customFormat="1" ht="12">
      <c r="A39" s="3" t="s">
        <v>294</v>
      </c>
      <c r="B39" s="3"/>
      <c r="C39" s="3" t="s">
        <v>207</v>
      </c>
      <c r="D39" s="3"/>
      <c r="E39" s="3">
        <v>51391</v>
      </c>
      <c r="F39" s="3"/>
      <c r="G39" s="3">
        <v>1223407</v>
      </c>
      <c r="H39" s="3"/>
      <c r="I39" s="3">
        <v>0</v>
      </c>
      <c r="J39" s="3"/>
      <c r="K39" s="3">
        <v>4572299</v>
      </c>
      <c r="L39" s="3"/>
      <c r="M39" s="3">
        <v>86516</v>
      </c>
      <c r="N39" s="3"/>
      <c r="O39" s="3">
        <v>976450</v>
      </c>
      <c r="P39" s="3"/>
      <c r="Q39" s="3">
        <v>506737</v>
      </c>
      <c r="R39" s="3"/>
      <c r="S39" s="3">
        <v>118058</v>
      </c>
      <c r="T39" s="3"/>
      <c r="U39" s="3">
        <v>791133</v>
      </c>
      <c r="V39" s="3"/>
      <c r="W39" s="3">
        <v>502179</v>
      </c>
      <c r="X39" s="3"/>
      <c r="Y39" s="3">
        <v>230624</v>
      </c>
      <c r="Z39" s="3"/>
      <c r="AA39" s="3">
        <v>1342488</v>
      </c>
      <c r="AC39" s="3">
        <v>10435</v>
      </c>
      <c r="AD39" s="3"/>
      <c r="AE39" s="3" t="s">
        <v>294</v>
      </c>
      <c r="AG39" s="16" t="s">
        <v>207</v>
      </c>
      <c r="AH39" s="3"/>
      <c r="AI39" s="3">
        <v>350171</v>
      </c>
      <c r="AJ39" s="3"/>
      <c r="AK39" s="3">
        <v>0</v>
      </c>
      <c r="AL39" s="3"/>
      <c r="AM39" s="3">
        <v>293375</v>
      </c>
      <c r="AN39" s="3"/>
      <c r="AO39" s="3">
        <v>24702</v>
      </c>
      <c r="AP39" s="3"/>
      <c r="AQ39" s="3">
        <v>26600</v>
      </c>
      <c r="AR39" s="3"/>
      <c r="AS39" s="3">
        <v>2108686</v>
      </c>
      <c r="AT39" s="3"/>
      <c r="AU39" s="3">
        <v>0</v>
      </c>
      <c r="AV39" s="3"/>
      <c r="AW39" s="3">
        <v>0</v>
      </c>
      <c r="AX39" s="3"/>
      <c r="AY39" s="3">
        <v>0</v>
      </c>
      <c r="AZ39" s="3"/>
      <c r="BA39" s="3">
        <v>0</v>
      </c>
      <c r="BB39" s="3"/>
      <c r="BC39" s="17">
        <f t="shared" si="1"/>
        <v>13163860</v>
      </c>
      <c r="BD39" s="3" t="s">
        <v>294</v>
      </c>
      <c r="BF39" s="16" t="s">
        <v>207</v>
      </c>
      <c r="BG39" s="3"/>
      <c r="BH39" s="3">
        <v>10729</v>
      </c>
      <c r="BI39" s="3"/>
      <c r="BJ39" s="3">
        <v>0</v>
      </c>
      <c r="BK39" s="3"/>
      <c r="BL39" s="3">
        <v>0</v>
      </c>
      <c r="BM39" s="3"/>
      <c r="BN39" s="3">
        <v>0</v>
      </c>
      <c r="BO39" s="3"/>
      <c r="BP39" s="17">
        <f t="shared" si="0"/>
        <v>13174589</v>
      </c>
      <c r="BQ39" s="3"/>
      <c r="BR39" s="17">
        <f>GovRev!AX39-BP39</f>
        <v>1614698</v>
      </c>
      <c r="BS39" s="3"/>
      <c r="BT39" s="3">
        <v>19361977</v>
      </c>
      <c r="BU39" s="3"/>
      <c r="BV39" s="3">
        <v>0</v>
      </c>
      <c r="BW39" s="3"/>
      <c r="BX39" s="17">
        <f t="shared" si="2"/>
        <v>20976675</v>
      </c>
      <c r="BY39" s="17"/>
      <c r="BZ39" s="17">
        <f>-BX39+GovBS!AC39</f>
        <v>0</v>
      </c>
    </row>
    <row r="40" spans="1:78" s="16" customFormat="1" ht="12">
      <c r="A40" s="3" t="s">
        <v>252</v>
      </c>
      <c r="B40" s="3"/>
      <c r="C40" s="3" t="s">
        <v>193</v>
      </c>
      <c r="D40" s="3"/>
      <c r="E40" s="3">
        <v>62109</v>
      </c>
      <c r="F40" s="3"/>
      <c r="G40" s="3">
        <v>2556352</v>
      </c>
      <c r="H40" s="3"/>
      <c r="I40" s="3">
        <v>460971</v>
      </c>
      <c r="J40" s="3"/>
      <c r="K40" s="3">
        <v>5528475</v>
      </c>
      <c r="L40" s="3"/>
      <c r="M40" s="3">
        <v>143295</v>
      </c>
      <c r="N40" s="3"/>
      <c r="O40" s="3">
        <v>1814595</v>
      </c>
      <c r="P40" s="3"/>
      <c r="Q40" s="3">
        <v>815371</v>
      </c>
      <c r="R40" s="3"/>
      <c r="S40" s="3">
        <v>36179</v>
      </c>
      <c r="T40" s="3"/>
      <c r="U40" s="3">
        <v>1651424</v>
      </c>
      <c r="V40" s="3"/>
      <c r="W40" s="3">
        <v>502663</v>
      </c>
      <c r="X40" s="3"/>
      <c r="Y40" s="3">
        <v>182478</v>
      </c>
      <c r="Z40" s="3"/>
      <c r="AA40" s="3">
        <v>1523952</v>
      </c>
      <c r="AC40" s="3">
        <v>42313</v>
      </c>
      <c r="AD40" s="3"/>
      <c r="AE40" s="3" t="s">
        <v>252</v>
      </c>
      <c r="AG40" s="16" t="s">
        <v>193</v>
      </c>
      <c r="AH40" s="3"/>
      <c r="AI40" s="3">
        <v>122981</v>
      </c>
      <c r="AJ40" s="3"/>
      <c r="AK40" s="3">
        <v>0</v>
      </c>
      <c r="AL40" s="3"/>
      <c r="AM40" s="3">
        <v>0</v>
      </c>
      <c r="AN40" s="3"/>
      <c r="AO40" s="3">
        <v>70843</v>
      </c>
      <c r="AP40" s="3"/>
      <c r="AQ40" s="3">
        <v>16706</v>
      </c>
      <c r="AR40" s="3"/>
      <c r="AS40" s="3">
        <v>528314</v>
      </c>
      <c r="AT40" s="3"/>
      <c r="AU40" s="3">
        <v>0</v>
      </c>
      <c r="AV40" s="3"/>
      <c r="AW40" s="3">
        <v>0</v>
      </c>
      <c r="AX40" s="3"/>
      <c r="AY40" s="3">
        <v>0</v>
      </c>
      <c r="AZ40" s="3"/>
      <c r="BA40" s="3">
        <v>0</v>
      </c>
      <c r="BB40" s="3"/>
      <c r="BC40" s="17">
        <f t="shared" si="1"/>
        <v>15996912</v>
      </c>
      <c r="BD40" s="3" t="s">
        <v>252</v>
      </c>
      <c r="BF40" s="16" t="s">
        <v>193</v>
      </c>
      <c r="BG40" s="3"/>
      <c r="BH40" s="3">
        <v>80000</v>
      </c>
      <c r="BI40" s="3"/>
      <c r="BJ40" s="3">
        <v>0</v>
      </c>
      <c r="BK40" s="3"/>
      <c r="BL40" s="3">
        <v>0</v>
      </c>
      <c r="BM40" s="3"/>
      <c r="BN40" s="3">
        <v>0</v>
      </c>
      <c r="BO40" s="3"/>
      <c r="BP40" s="17">
        <f t="shared" si="0"/>
        <v>16076912</v>
      </c>
      <c r="BQ40" s="3"/>
      <c r="BR40" s="17">
        <f>GovRev!AX40-BP40</f>
        <v>1175633</v>
      </c>
      <c r="BS40" s="3"/>
      <c r="BT40" s="3">
        <v>5587567</v>
      </c>
      <c r="BU40" s="3"/>
      <c r="BV40" s="3">
        <v>0</v>
      </c>
      <c r="BW40" s="3"/>
      <c r="BX40" s="17">
        <f t="shared" si="2"/>
        <v>6763200</v>
      </c>
      <c r="BY40" s="17"/>
      <c r="BZ40" s="17">
        <f>-BX40+GovBS!AC40</f>
        <v>0</v>
      </c>
    </row>
    <row r="41" spans="1:78" s="16" customFormat="1" ht="12">
      <c r="A41" s="3" t="s">
        <v>295</v>
      </c>
      <c r="B41" s="3"/>
      <c r="C41" s="3" t="s">
        <v>199</v>
      </c>
      <c r="D41" s="3"/>
      <c r="E41" s="3">
        <v>51284</v>
      </c>
      <c r="F41" s="3"/>
      <c r="G41" s="3">
        <v>5061671</v>
      </c>
      <c r="H41" s="3"/>
      <c r="I41" s="3">
        <v>346541</v>
      </c>
      <c r="J41" s="3"/>
      <c r="K41" s="3">
        <v>11271689</v>
      </c>
      <c r="L41" s="3"/>
      <c r="M41" s="3">
        <v>4509110</v>
      </c>
      <c r="N41" s="3"/>
      <c r="O41" s="3">
        <v>1599431</v>
      </c>
      <c r="P41" s="3"/>
      <c r="Q41" s="3">
        <v>1775971</v>
      </c>
      <c r="R41" s="3"/>
      <c r="S41" s="3">
        <v>52959</v>
      </c>
      <c r="T41" s="3"/>
      <c r="U41" s="3">
        <v>2588195</v>
      </c>
      <c r="V41" s="3"/>
      <c r="W41" s="3">
        <v>821660</v>
      </c>
      <c r="X41" s="3"/>
      <c r="Y41" s="3">
        <v>483216</v>
      </c>
      <c r="Z41" s="3"/>
      <c r="AA41" s="3">
        <v>4059688</v>
      </c>
      <c r="AC41" s="3">
        <v>86718</v>
      </c>
      <c r="AD41" s="3"/>
      <c r="AE41" s="3" t="s">
        <v>295</v>
      </c>
      <c r="AG41" s="16" t="s">
        <v>199</v>
      </c>
      <c r="AH41" s="3"/>
      <c r="AI41" s="3">
        <v>2517899</v>
      </c>
      <c r="AJ41" s="3"/>
      <c r="AK41" s="3">
        <v>0</v>
      </c>
      <c r="AL41" s="3"/>
      <c r="AM41" s="3">
        <v>0</v>
      </c>
      <c r="AN41" s="3"/>
      <c r="AO41" s="3">
        <v>0</v>
      </c>
      <c r="AP41" s="3"/>
      <c r="AQ41" s="3">
        <v>111520</v>
      </c>
      <c r="AR41" s="3"/>
      <c r="AS41" s="3">
        <v>2155616</v>
      </c>
      <c r="AT41" s="3"/>
      <c r="AU41" s="3">
        <v>0</v>
      </c>
      <c r="AV41" s="3"/>
      <c r="AW41" s="3">
        <v>20000</v>
      </c>
      <c r="AX41" s="3"/>
      <c r="AY41" s="3">
        <v>327395</v>
      </c>
      <c r="AZ41" s="3"/>
      <c r="BA41" s="3">
        <v>0</v>
      </c>
      <c r="BB41" s="3"/>
      <c r="BC41" s="17">
        <f t="shared" si="1"/>
        <v>37789279</v>
      </c>
      <c r="BD41" s="3" t="s">
        <v>295</v>
      </c>
      <c r="BF41" s="16" t="s">
        <v>199</v>
      </c>
      <c r="BG41" s="3"/>
      <c r="BH41" s="3">
        <v>747395</v>
      </c>
      <c r="BI41" s="3"/>
      <c r="BJ41" s="3">
        <v>0</v>
      </c>
      <c r="BK41" s="3"/>
      <c r="BL41" s="3">
        <v>0</v>
      </c>
      <c r="BM41" s="3"/>
      <c r="BN41" s="3">
        <v>0</v>
      </c>
      <c r="BO41" s="3"/>
      <c r="BP41" s="17">
        <f t="shared" si="0"/>
        <v>38536674</v>
      </c>
      <c r="BQ41" s="3"/>
      <c r="BR41" s="17">
        <f>GovRev!AX41-BP41</f>
        <v>-1808188</v>
      </c>
      <c r="BS41" s="3"/>
      <c r="BT41" s="3">
        <v>4571727</v>
      </c>
      <c r="BU41" s="3"/>
      <c r="BV41" s="3">
        <v>0</v>
      </c>
      <c r="BW41" s="3"/>
      <c r="BX41" s="17">
        <f t="shared" si="2"/>
        <v>2763539</v>
      </c>
      <c r="BY41" s="17"/>
      <c r="BZ41" s="17">
        <f>-BX41+GovBS!AC41</f>
        <v>0</v>
      </c>
    </row>
    <row r="42" spans="1:78" s="16" customFormat="1" ht="12">
      <c r="A42" s="3" t="s">
        <v>296</v>
      </c>
      <c r="B42" s="3"/>
      <c r="C42" s="3" t="s">
        <v>201</v>
      </c>
      <c r="D42" s="3"/>
      <c r="E42" s="3">
        <v>51300</v>
      </c>
      <c r="F42" s="3"/>
      <c r="G42" s="3">
        <v>1970833</v>
      </c>
      <c r="H42" s="3"/>
      <c r="I42" s="3">
        <v>0</v>
      </c>
      <c r="J42" s="3"/>
      <c r="K42" s="3">
        <v>6441946</v>
      </c>
      <c r="L42" s="3"/>
      <c r="M42" s="3">
        <v>2994012</v>
      </c>
      <c r="N42" s="3"/>
      <c r="O42" s="3">
        <v>1027265</v>
      </c>
      <c r="P42" s="3"/>
      <c r="Q42" s="3">
        <v>679473</v>
      </c>
      <c r="R42" s="3"/>
      <c r="S42" s="3">
        <v>77540</v>
      </c>
      <c r="T42" s="3"/>
      <c r="U42" s="3">
        <v>1393555</v>
      </c>
      <c r="V42" s="3"/>
      <c r="W42" s="3">
        <v>750482</v>
      </c>
      <c r="X42" s="3"/>
      <c r="Y42" s="3">
        <v>213661</v>
      </c>
      <c r="Z42" s="3"/>
      <c r="AA42" s="3">
        <v>1187042</v>
      </c>
      <c r="AC42" s="3">
        <v>55769</v>
      </c>
      <c r="AD42" s="3"/>
      <c r="AE42" s="3" t="s">
        <v>296</v>
      </c>
      <c r="AG42" s="16" t="s">
        <v>201</v>
      </c>
      <c r="AH42" s="3"/>
      <c r="AI42" s="3">
        <v>550152</v>
      </c>
      <c r="AJ42" s="3"/>
      <c r="AK42" s="3">
        <v>0</v>
      </c>
      <c r="AL42" s="3"/>
      <c r="AM42" s="3">
        <v>349835</v>
      </c>
      <c r="AN42" s="3"/>
      <c r="AO42" s="3">
        <v>0</v>
      </c>
      <c r="AP42" s="3"/>
      <c r="AQ42" s="3">
        <v>94108</v>
      </c>
      <c r="AR42" s="3"/>
      <c r="AS42" s="3">
        <v>642923</v>
      </c>
      <c r="AT42" s="3"/>
      <c r="AU42" s="3">
        <v>0</v>
      </c>
      <c r="AV42" s="3"/>
      <c r="AW42" s="3">
        <f>19537+467196</f>
        <v>486733</v>
      </c>
      <c r="AX42" s="3"/>
      <c r="AY42" s="3">
        <v>372896</v>
      </c>
      <c r="AZ42" s="3"/>
      <c r="BA42" s="3">
        <v>0</v>
      </c>
      <c r="BB42" s="3"/>
      <c r="BC42" s="17">
        <f t="shared" si="1"/>
        <v>19288225</v>
      </c>
      <c r="BD42" s="3" t="s">
        <v>296</v>
      </c>
      <c r="BF42" s="16" t="s">
        <v>201</v>
      </c>
      <c r="BG42" s="3"/>
      <c r="BH42" s="3">
        <v>68296</v>
      </c>
      <c r="BI42" s="3"/>
      <c r="BJ42" s="3">
        <v>0</v>
      </c>
      <c r="BK42" s="3"/>
      <c r="BL42" s="3">
        <v>0</v>
      </c>
      <c r="BM42" s="3"/>
      <c r="BN42" s="3">
        <v>0</v>
      </c>
      <c r="BO42" s="3"/>
      <c r="BP42" s="17">
        <f t="shared" si="0"/>
        <v>19356521</v>
      </c>
      <c r="BQ42" s="3"/>
      <c r="BR42" s="17">
        <f>GovRev!AX42-BP42</f>
        <v>24303667</v>
      </c>
      <c r="BS42" s="3"/>
      <c r="BT42" s="3">
        <v>13862482</v>
      </c>
      <c r="BU42" s="3"/>
      <c r="BV42" s="3">
        <v>0</v>
      </c>
      <c r="BW42" s="3"/>
      <c r="BX42" s="17">
        <f t="shared" si="2"/>
        <v>38166149</v>
      </c>
      <c r="BY42" s="17"/>
      <c r="BZ42" s="17">
        <f>-BX42+GovBS!AC42</f>
        <v>0</v>
      </c>
    </row>
    <row r="43" spans="1:78" s="16" customFormat="1" ht="12.75" customHeight="1">
      <c r="A43" s="3" t="s">
        <v>245</v>
      </c>
      <c r="B43" s="3"/>
      <c r="C43" s="3" t="s">
        <v>188</v>
      </c>
      <c r="D43" s="3"/>
      <c r="E43" s="3">
        <v>51334</v>
      </c>
      <c r="F43" s="3"/>
      <c r="G43" s="3">
        <v>1224047</v>
      </c>
      <c r="H43" s="3"/>
      <c r="I43" s="3">
        <v>629472</v>
      </c>
      <c r="J43" s="3"/>
      <c r="K43" s="3">
        <v>4862540</v>
      </c>
      <c r="L43" s="3"/>
      <c r="M43" s="3">
        <f>1644881+71260</f>
        <v>1716141</v>
      </c>
      <c r="N43" s="3"/>
      <c r="O43" s="3">
        <v>761741</v>
      </c>
      <c r="P43" s="3"/>
      <c r="Q43" s="3">
        <v>441128</v>
      </c>
      <c r="R43" s="3"/>
      <c r="S43" s="3">
        <v>43570</v>
      </c>
      <c r="T43" s="3"/>
      <c r="U43" s="3">
        <v>891383</v>
      </c>
      <c r="V43" s="3"/>
      <c r="W43" s="3">
        <v>271239</v>
      </c>
      <c r="X43" s="3"/>
      <c r="Y43" s="3">
        <v>962625</v>
      </c>
      <c r="Z43" s="3"/>
      <c r="AA43" s="3">
        <v>1479904</v>
      </c>
      <c r="AC43" s="3">
        <v>53120</v>
      </c>
      <c r="AD43" s="3"/>
      <c r="AE43" s="3" t="s">
        <v>245</v>
      </c>
      <c r="AG43" s="16" t="s">
        <v>188</v>
      </c>
      <c r="AH43" s="3"/>
      <c r="AI43" s="3">
        <v>754135</v>
      </c>
      <c r="AJ43" s="3"/>
      <c r="AK43" s="3">
        <v>0</v>
      </c>
      <c r="AL43" s="3"/>
      <c r="AM43" s="3">
        <v>0</v>
      </c>
      <c r="AN43" s="3"/>
      <c r="AO43" s="3">
        <v>271699</v>
      </c>
      <c r="AP43" s="3"/>
      <c r="AQ43" s="3">
        <v>0</v>
      </c>
      <c r="AR43" s="3"/>
      <c r="AS43" s="3">
        <v>277203</v>
      </c>
      <c r="AT43" s="3"/>
      <c r="AU43" s="3">
        <v>0</v>
      </c>
      <c r="AV43" s="3"/>
      <c r="AW43" s="3">
        <v>258333</v>
      </c>
      <c r="AX43" s="3"/>
      <c r="AY43" s="3">
        <v>59460</v>
      </c>
      <c r="AZ43" s="3"/>
      <c r="BA43" s="3">
        <v>0</v>
      </c>
      <c r="BB43" s="3"/>
      <c r="BC43" s="17">
        <f t="shared" si="1"/>
        <v>14957740</v>
      </c>
      <c r="BD43" s="3" t="s">
        <v>245</v>
      </c>
      <c r="BF43" s="16" t="s">
        <v>188</v>
      </c>
      <c r="BG43" s="3"/>
      <c r="BH43" s="3">
        <v>79596</v>
      </c>
      <c r="BI43" s="3"/>
      <c r="BJ43" s="3"/>
      <c r="BK43" s="3"/>
      <c r="BL43" s="3"/>
      <c r="BM43" s="3"/>
      <c r="BN43" s="3">
        <v>0</v>
      </c>
      <c r="BO43" s="3"/>
      <c r="BP43" s="17">
        <f t="shared" si="0"/>
        <v>15037336</v>
      </c>
      <c r="BQ43" s="3"/>
      <c r="BR43" s="17">
        <f>GovRev!AX43-BP43</f>
        <v>637108</v>
      </c>
      <c r="BS43" s="3"/>
      <c r="BT43" s="3">
        <v>8238120</v>
      </c>
      <c r="BU43" s="3"/>
      <c r="BV43" s="3">
        <v>0</v>
      </c>
      <c r="BW43" s="3"/>
      <c r="BX43" s="17">
        <f t="shared" si="2"/>
        <v>8875228</v>
      </c>
      <c r="BY43" s="17"/>
      <c r="BZ43" s="17">
        <f>-BX43+GovBS!AC43</f>
        <v>0</v>
      </c>
    </row>
    <row r="44" spans="1:78" s="16" customFormat="1" ht="12">
      <c r="A44" s="3" t="s">
        <v>297</v>
      </c>
      <c r="B44" s="3"/>
      <c r="C44" s="3" t="s">
        <v>236</v>
      </c>
      <c r="D44" s="3"/>
      <c r="E44" s="3">
        <v>51359</v>
      </c>
      <c r="F44" s="3"/>
      <c r="G44" s="3">
        <v>0</v>
      </c>
      <c r="H44" s="3"/>
      <c r="I44" s="3">
        <v>588674</v>
      </c>
      <c r="J44" s="3"/>
      <c r="K44" s="3">
        <v>15260134</v>
      </c>
      <c r="L44" s="3"/>
      <c r="M44" s="3">
        <f>850507+595052</f>
        <v>1445559</v>
      </c>
      <c r="N44" s="3"/>
      <c r="O44" s="3">
        <v>2739205</v>
      </c>
      <c r="P44" s="3"/>
      <c r="Q44" s="3">
        <v>2389930</v>
      </c>
      <c r="R44" s="3"/>
      <c r="S44" s="3">
        <v>85443</v>
      </c>
      <c r="T44" s="3"/>
      <c r="U44" s="3">
        <v>1175917</v>
      </c>
      <c r="V44" s="3"/>
      <c r="W44" s="3">
        <v>638996</v>
      </c>
      <c r="X44" s="3"/>
      <c r="Y44" s="3">
        <v>0</v>
      </c>
      <c r="Z44" s="3"/>
      <c r="AA44" s="3">
        <v>2577815</v>
      </c>
      <c r="AC44" s="3">
        <v>0</v>
      </c>
      <c r="AD44" s="3"/>
      <c r="AE44" s="3" t="s">
        <v>297</v>
      </c>
      <c r="AG44" s="16" t="s">
        <v>236</v>
      </c>
      <c r="AH44" s="3"/>
      <c r="AI44" s="3">
        <v>242916</v>
      </c>
      <c r="AJ44" s="3"/>
      <c r="AK44" s="3">
        <v>0</v>
      </c>
      <c r="AL44" s="3"/>
      <c r="AM44" s="3">
        <v>649251</v>
      </c>
      <c r="AN44" s="3"/>
      <c r="AO44" s="3">
        <v>200922</v>
      </c>
      <c r="AP44" s="3"/>
      <c r="AQ44" s="3">
        <v>178510</v>
      </c>
      <c r="AR44" s="3"/>
      <c r="AS44" s="3">
        <f>705933+10667</f>
        <v>716600</v>
      </c>
      <c r="AT44" s="3"/>
      <c r="AU44" s="3">
        <v>0</v>
      </c>
      <c r="AV44" s="3"/>
      <c r="AW44" s="3">
        <v>1749508</v>
      </c>
      <c r="AX44" s="3"/>
      <c r="AY44" s="3">
        <v>2734934</v>
      </c>
      <c r="AZ44" s="3"/>
      <c r="BA44" s="3">
        <v>0</v>
      </c>
      <c r="BB44" s="3"/>
      <c r="BC44" s="17">
        <f t="shared" si="1"/>
        <v>33374314</v>
      </c>
      <c r="BD44" s="3" t="s">
        <v>297</v>
      </c>
      <c r="BF44" s="16" t="s">
        <v>236</v>
      </c>
      <c r="BG44" s="3"/>
      <c r="BH44" s="17">
        <v>6232600</v>
      </c>
      <c r="BI44" s="3"/>
      <c r="BJ44" s="3">
        <v>0</v>
      </c>
      <c r="BK44" s="3"/>
      <c r="BL44" s="3">
        <v>0</v>
      </c>
      <c r="BM44" s="3"/>
      <c r="BN44" s="3">
        <v>0</v>
      </c>
      <c r="BO44" s="3"/>
      <c r="BP44" s="17">
        <f t="shared" si="0"/>
        <v>39606914</v>
      </c>
      <c r="BQ44" s="3"/>
      <c r="BR44" s="17">
        <f>GovRev!AX44-BP44</f>
        <v>1602624</v>
      </c>
      <c r="BS44" s="3"/>
      <c r="BT44" s="3">
        <v>17519044</v>
      </c>
      <c r="BU44" s="3"/>
      <c r="BV44" s="3">
        <v>0</v>
      </c>
      <c r="BW44" s="3"/>
      <c r="BX44" s="17">
        <f t="shared" si="2"/>
        <v>19121668</v>
      </c>
      <c r="BY44" s="17"/>
      <c r="BZ44" s="17">
        <f>-BX44+GovBS!AC44</f>
        <v>0</v>
      </c>
    </row>
    <row r="45" spans="1:78" s="16" customFormat="1" ht="12">
      <c r="A45" s="3" t="s">
        <v>298</v>
      </c>
      <c r="B45" s="3"/>
      <c r="C45" s="3" t="s">
        <v>214</v>
      </c>
      <c r="D45" s="3"/>
      <c r="E45" s="3">
        <v>51433</v>
      </c>
      <c r="F45" s="3"/>
      <c r="G45" s="3">
        <v>999039</v>
      </c>
      <c r="H45" s="3"/>
      <c r="I45" s="3">
        <v>0</v>
      </c>
      <c r="J45" s="3"/>
      <c r="K45" s="3">
        <v>12640584</v>
      </c>
      <c r="L45" s="3"/>
      <c r="M45" s="3">
        <v>1483</v>
      </c>
      <c r="N45" s="3"/>
      <c r="O45" s="3">
        <v>1780174</v>
      </c>
      <c r="P45" s="3"/>
      <c r="Q45" s="3">
        <v>1212871</v>
      </c>
      <c r="R45" s="3"/>
      <c r="S45" s="3">
        <v>24013</v>
      </c>
      <c r="T45" s="3"/>
      <c r="U45" s="3">
        <v>434650</v>
      </c>
      <c r="V45" s="3"/>
      <c r="W45" s="3">
        <v>521162</v>
      </c>
      <c r="X45" s="3"/>
      <c r="Y45" s="3">
        <v>11363</v>
      </c>
      <c r="Z45" s="3"/>
      <c r="AA45" s="3">
        <v>1246348</v>
      </c>
      <c r="AC45" s="3">
        <v>11466</v>
      </c>
      <c r="AD45" s="3"/>
      <c r="AE45" s="3" t="s">
        <v>298</v>
      </c>
      <c r="AG45" s="16" t="s">
        <v>214</v>
      </c>
      <c r="AH45" s="3"/>
      <c r="AI45" s="3">
        <v>40872</v>
      </c>
      <c r="AJ45" s="3"/>
      <c r="AK45" s="3">
        <v>0</v>
      </c>
      <c r="AL45" s="3"/>
      <c r="AM45" s="3">
        <v>0</v>
      </c>
      <c r="AN45" s="3"/>
      <c r="AO45" s="3">
        <v>311947</v>
      </c>
      <c r="AP45" s="3"/>
      <c r="AQ45" s="3">
        <v>25694</v>
      </c>
      <c r="AR45" s="3"/>
      <c r="AS45" s="3">
        <v>0</v>
      </c>
      <c r="AT45" s="3"/>
      <c r="AU45" s="3">
        <v>0</v>
      </c>
      <c r="AV45" s="3"/>
      <c r="AW45" s="3">
        <v>272886</v>
      </c>
      <c r="AX45" s="3"/>
      <c r="AY45" s="3">
        <v>0</v>
      </c>
      <c r="AZ45" s="3"/>
      <c r="BA45" s="3">
        <v>0</v>
      </c>
      <c r="BB45" s="3"/>
      <c r="BC45" s="17">
        <f t="shared" si="1"/>
        <v>19534552</v>
      </c>
      <c r="BD45" s="3" t="s">
        <v>298</v>
      </c>
      <c r="BF45" s="16" t="s">
        <v>214</v>
      </c>
      <c r="BG45" s="3"/>
      <c r="BH45" s="3">
        <v>670314</v>
      </c>
      <c r="BI45" s="3"/>
      <c r="BJ45" s="3">
        <v>0</v>
      </c>
      <c r="BK45" s="3"/>
      <c r="BL45" s="3">
        <v>0</v>
      </c>
      <c r="BM45" s="3"/>
      <c r="BN45" s="3">
        <v>0</v>
      </c>
      <c r="BO45" s="3"/>
      <c r="BP45" s="17">
        <f t="shared" si="0"/>
        <v>20204866</v>
      </c>
      <c r="BQ45" s="3"/>
      <c r="BR45" s="17">
        <f>GovRev!AX45-BP45</f>
        <v>2701532</v>
      </c>
      <c r="BS45" s="3"/>
      <c r="BT45" s="3">
        <v>6776000</v>
      </c>
      <c r="BU45" s="3"/>
      <c r="BV45" s="3">
        <v>0</v>
      </c>
      <c r="BW45" s="3"/>
      <c r="BX45" s="17">
        <f t="shared" si="2"/>
        <v>9477532</v>
      </c>
      <c r="BY45" s="17"/>
      <c r="BZ45" s="17">
        <f>-BX45+GovBS!AC45</f>
        <v>0</v>
      </c>
    </row>
    <row r="46" spans="1:78" s="16" customFormat="1" ht="12">
      <c r="A46" s="3" t="s">
        <v>299</v>
      </c>
      <c r="B46" s="3"/>
      <c r="C46" s="3" t="s">
        <v>254</v>
      </c>
      <c r="D46" s="3"/>
      <c r="E46" s="3">
        <v>51375</v>
      </c>
      <c r="F46" s="3"/>
      <c r="G46" s="3">
        <v>0</v>
      </c>
      <c r="H46" s="3"/>
      <c r="I46" s="3">
        <v>84816</v>
      </c>
      <c r="J46" s="3"/>
      <c r="K46" s="3">
        <v>4128332</v>
      </c>
      <c r="L46" s="3"/>
      <c r="M46" s="3">
        <v>432828</v>
      </c>
      <c r="N46" s="3"/>
      <c r="O46" s="3">
        <v>421786</v>
      </c>
      <c r="P46" s="3"/>
      <c r="Q46" s="3">
        <v>331201</v>
      </c>
      <c r="R46" s="3"/>
      <c r="S46" s="3">
        <v>77634</v>
      </c>
      <c r="T46" s="3"/>
      <c r="U46" s="3">
        <v>513156</v>
      </c>
      <c r="V46" s="3"/>
      <c r="W46" s="3">
        <v>352680</v>
      </c>
      <c r="X46" s="3"/>
      <c r="Y46" s="3">
        <v>0</v>
      </c>
      <c r="Z46" s="3"/>
      <c r="AA46" s="3">
        <v>735360</v>
      </c>
      <c r="AC46" s="3">
        <v>14139</v>
      </c>
      <c r="AD46" s="3"/>
      <c r="AE46" s="3" t="s">
        <v>299</v>
      </c>
      <c r="AG46" s="16" t="s">
        <v>254</v>
      </c>
      <c r="AH46" s="3"/>
      <c r="AI46" s="3">
        <v>208271</v>
      </c>
      <c r="AJ46" s="3"/>
      <c r="AK46" s="3">
        <v>0</v>
      </c>
      <c r="AL46" s="3"/>
      <c r="AM46" s="3">
        <v>0</v>
      </c>
      <c r="AN46" s="3"/>
      <c r="AO46" s="3">
        <v>590877</v>
      </c>
      <c r="AP46" s="3"/>
      <c r="AQ46" s="3">
        <v>1692</v>
      </c>
      <c r="AR46" s="3"/>
      <c r="AS46" s="3">
        <v>178172</v>
      </c>
      <c r="AT46" s="3"/>
      <c r="AU46" s="3">
        <v>0</v>
      </c>
      <c r="AV46" s="3"/>
      <c r="AW46" s="3">
        <v>134797</v>
      </c>
      <c r="AX46" s="3"/>
      <c r="AY46" s="3">
        <v>182004</v>
      </c>
      <c r="AZ46" s="3"/>
      <c r="BA46" s="3">
        <v>0</v>
      </c>
      <c r="BB46" s="3"/>
      <c r="BC46" s="17">
        <f t="shared" si="1"/>
        <v>8387745</v>
      </c>
      <c r="BD46" s="3" t="s">
        <v>299</v>
      </c>
      <c r="BF46" s="16" t="s">
        <v>254</v>
      </c>
      <c r="BG46" s="3"/>
      <c r="BH46" s="3">
        <v>306047</v>
      </c>
      <c r="BI46" s="3"/>
      <c r="BJ46" s="3">
        <v>0</v>
      </c>
      <c r="BK46" s="3"/>
      <c r="BL46" s="3">
        <v>0</v>
      </c>
      <c r="BM46" s="3"/>
      <c r="BN46" s="3">
        <v>0</v>
      </c>
      <c r="BO46" s="3"/>
      <c r="BP46" s="17">
        <f t="shared" si="0"/>
        <v>8693792</v>
      </c>
      <c r="BQ46" s="3"/>
      <c r="BR46" s="17">
        <f>GovRev!AX46-BP46</f>
        <v>-450753</v>
      </c>
      <c r="BS46" s="3"/>
      <c r="BT46" s="3">
        <v>5188727</v>
      </c>
      <c r="BU46" s="3"/>
      <c r="BV46" s="3">
        <v>0</v>
      </c>
      <c r="BW46" s="3"/>
      <c r="BX46" s="17">
        <f t="shared" si="2"/>
        <v>4737974</v>
      </c>
      <c r="BY46" s="17"/>
      <c r="BZ46" s="17">
        <f>-BX46+GovBS!AC46</f>
        <v>0</v>
      </c>
    </row>
    <row r="47" spans="1:78" s="16" customFormat="1" ht="12">
      <c r="A47" s="3" t="s">
        <v>300</v>
      </c>
      <c r="B47" s="3"/>
      <c r="C47" s="3" t="s">
        <v>212</v>
      </c>
      <c r="D47" s="3"/>
      <c r="E47" s="3">
        <v>51417</v>
      </c>
      <c r="F47" s="3"/>
      <c r="G47" s="3">
        <v>767654</v>
      </c>
      <c r="H47" s="3"/>
      <c r="I47" s="3">
        <v>498153</v>
      </c>
      <c r="J47" s="3"/>
      <c r="K47" s="3">
        <v>9404173</v>
      </c>
      <c r="L47" s="3"/>
      <c r="M47" s="3">
        <v>442279</v>
      </c>
      <c r="N47" s="3"/>
      <c r="O47" s="3">
        <v>1237971</v>
      </c>
      <c r="P47" s="3"/>
      <c r="Q47" s="3">
        <v>1230644</v>
      </c>
      <c r="R47" s="3"/>
      <c r="S47" s="3">
        <v>91509</v>
      </c>
      <c r="T47" s="3"/>
      <c r="U47" s="3">
        <v>1219403</v>
      </c>
      <c r="V47" s="3"/>
      <c r="W47" s="3">
        <v>479419</v>
      </c>
      <c r="X47" s="3"/>
      <c r="Y47" s="3">
        <v>179271</v>
      </c>
      <c r="Z47" s="3"/>
      <c r="AA47" s="3">
        <v>1111757</v>
      </c>
      <c r="AC47" s="3">
        <v>1888</v>
      </c>
      <c r="AD47" s="3"/>
      <c r="AE47" s="3" t="s">
        <v>300</v>
      </c>
      <c r="AG47" s="16" t="s">
        <v>212</v>
      </c>
      <c r="AH47" s="3"/>
      <c r="AI47" s="3">
        <v>224263</v>
      </c>
      <c r="AJ47" s="3"/>
      <c r="AK47" s="3">
        <v>0</v>
      </c>
      <c r="AL47" s="3"/>
      <c r="AM47" s="3">
        <v>409348</v>
      </c>
      <c r="AN47" s="3"/>
      <c r="AO47" s="3">
        <v>140</v>
      </c>
      <c r="AP47" s="3"/>
      <c r="AQ47" s="3">
        <v>68910</v>
      </c>
      <c r="AR47" s="3"/>
      <c r="AS47" s="3">
        <f>7059837+20670</f>
        <v>7080507</v>
      </c>
      <c r="AT47" s="3"/>
      <c r="AU47" s="3">
        <v>0</v>
      </c>
      <c r="AV47" s="3"/>
      <c r="AW47" s="3">
        <v>304235</v>
      </c>
      <c r="AX47" s="3"/>
      <c r="AY47" s="3">
        <v>588172</v>
      </c>
      <c r="AZ47" s="3"/>
      <c r="BA47" s="3">
        <v>0</v>
      </c>
      <c r="BB47" s="3"/>
      <c r="BC47" s="17">
        <f t="shared" si="1"/>
        <v>25339696</v>
      </c>
      <c r="BD47" s="3" t="s">
        <v>300</v>
      </c>
      <c r="BF47" s="16" t="s">
        <v>212</v>
      </c>
      <c r="BG47" s="3"/>
      <c r="BH47" s="3">
        <v>777824</v>
      </c>
      <c r="BI47" s="3"/>
      <c r="BJ47" s="3">
        <v>0</v>
      </c>
      <c r="BK47" s="3"/>
      <c r="BL47" s="3">
        <v>0</v>
      </c>
      <c r="BM47" s="3"/>
      <c r="BN47" s="3">
        <v>0</v>
      </c>
      <c r="BO47" s="3"/>
      <c r="BP47" s="17">
        <f t="shared" si="0"/>
        <v>26117520</v>
      </c>
      <c r="BQ47" s="3"/>
      <c r="BR47" s="17">
        <f>GovRev!AX47-BP47</f>
        <v>135651</v>
      </c>
      <c r="BS47" s="3"/>
      <c r="BT47" s="3">
        <v>33078197</v>
      </c>
      <c r="BU47" s="3"/>
      <c r="BV47" s="3">
        <v>-6179</v>
      </c>
      <c r="BW47" s="3"/>
      <c r="BX47" s="17">
        <f t="shared" si="2"/>
        <v>33207669</v>
      </c>
      <c r="BY47" s="17"/>
      <c r="BZ47" s="17">
        <f>-BX47+GovBS!AC47</f>
        <v>0</v>
      </c>
    </row>
    <row r="48" spans="1:78" s="16" customFormat="1" ht="12">
      <c r="A48" s="3" t="s">
        <v>301</v>
      </c>
      <c r="B48" s="3"/>
      <c r="C48" s="3" t="s">
        <v>167</v>
      </c>
      <c r="D48" s="3"/>
      <c r="E48" s="3">
        <v>50948</v>
      </c>
      <c r="F48" s="3"/>
      <c r="G48" s="3">
        <v>0</v>
      </c>
      <c r="H48" s="3"/>
      <c r="I48" s="3">
        <v>0</v>
      </c>
      <c r="J48" s="3"/>
      <c r="K48" s="3">
        <v>6298566</v>
      </c>
      <c r="L48" s="3"/>
      <c r="M48" s="3">
        <v>163466</v>
      </c>
      <c r="N48" s="3"/>
      <c r="O48" s="3">
        <v>1990486</v>
      </c>
      <c r="P48" s="3"/>
      <c r="Q48" s="3">
        <v>1724688</v>
      </c>
      <c r="R48" s="3"/>
      <c r="S48" s="3">
        <v>119605</v>
      </c>
      <c r="T48" s="3"/>
      <c r="U48" s="3">
        <v>855655</v>
      </c>
      <c r="V48" s="3"/>
      <c r="W48" s="3">
        <v>723437</v>
      </c>
      <c r="X48" s="3"/>
      <c r="Y48" s="3">
        <v>263323</v>
      </c>
      <c r="Z48" s="3"/>
      <c r="AA48" s="3">
        <v>1764552</v>
      </c>
      <c r="AC48" s="3">
        <v>28212</v>
      </c>
      <c r="AD48" s="3"/>
      <c r="AE48" s="3" t="s">
        <v>301</v>
      </c>
      <c r="AG48" s="16" t="s">
        <v>167</v>
      </c>
      <c r="AH48" s="3"/>
      <c r="AI48" s="3">
        <v>1106237</v>
      </c>
      <c r="AJ48" s="3"/>
      <c r="AK48" s="3">
        <v>0</v>
      </c>
      <c r="AL48" s="3"/>
      <c r="AM48" s="3">
        <v>0</v>
      </c>
      <c r="AN48" s="3"/>
      <c r="AO48" s="3">
        <v>0</v>
      </c>
      <c r="AP48" s="3"/>
      <c r="AQ48" s="3">
        <v>38059</v>
      </c>
      <c r="AR48" s="3"/>
      <c r="AS48" s="3">
        <v>1722921</v>
      </c>
      <c r="AT48" s="3"/>
      <c r="AU48" s="3">
        <v>0</v>
      </c>
      <c r="AV48" s="3"/>
      <c r="AW48" s="3">
        <v>0</v>
      </c>
      <c r="AX48" s="3"/>
      <c r="AY48" s="3">
        <v>0</v>
      </c>
      <c r="AZ48" s="3"/>
      <c r="BA48" s="3">
        <v>0</v>
      </c>
      <c r="BB48" s="3"/>
      <c r="BC48" s="17">
        <f t="shared" si="1"/>
        <v>16799207</v>
      </c>
      <c r="BD48" s="3" t="s">
        <v>301</v>
      </c>
      <c r="BF48" s="16" t="s">
        <v>167</v>
      </c>
      <c r="BG48" s="3"/>
      <c r="BH48" s="3">
        <v>343223</v>
      </c>
      <c r="BI48" s="3"/>
      <c r="BJ48" s="3">
        <v>0</v>
      </c>
      <c r="BK48" s="3"/>
      <c r="BL48" s="3">
        <v>0</v>
      </c>
      <c r="BM48" s="3"/>
      <c r="BN48" s="3">
        <v>0</v>
      </c>
      <c r="BO48" s="3"/>
      <c r="BP48" s="17">
        <f t="shared" si="0"/>
        <v>17142430</v>
      </c>
      <c r="BQ48" s="3"/>
      <c r="BR48" s="17">
        <f>GovRev!AX48-BP48</f>
        <v>-1946636</v>
      </c>
      <c r="BS48" s="3"/>
      <c r="BT48" s="3">
        <v>10215928</v>
      </c>
      <c r="BU48" s="3"/>
      <c r="BV48" s="3">
        <v>0</v>
      </c>
      <c r="BW48" s="3"/>
      <c r="BX48" s="17">
        <f t="shared" si="2"/>
        <v>8269292</v>
      </c>
      <c r="BY48" s="17"/>
      <c r="BZ48" s="17">
        <f>-BX48+GovBS!AC48</f>
        <v>0</v>
      </c>
    </row>
    <row r="49" spans="1:78" s="16" customFormat="1" ht="12">
      <c r="A49" s="3" t="s">
        <v>302</v>
      </c>
      <c r="B49" s="3"/>
      <c r="C49" s="3" t="s">
        <v>223</v>
      </c>
      <c r="D49" s="3"/>
      <c r="E49" s="3">
        <v>63495</v>
      </c>
      <c r="F49" s="3"/>
      <c r="G49" s="3">
        <v>334374</v>
      </c>
      <c r="H49" s="3"/>
      <c r="I49" s="3">
        <v>240238</v>
      </c>
      <c r="J49" s="3"/>
      <c r="K49" s="3">
        <v>3155192</v>
      </c>
      <c r="L49" s="3"/>
      <c r="M49" s="3">
        <f>1198741+3468</f>
        <v>1202209</v>
      </c>
      <c r="N49" s="3"/>
      <c r="O49" s="3">
        <v>248830</v>
      </c>
      <c r="P49" s="3"/>
      <c r="Q49" s="3">
        <v>80491</v>
      </c>
      <c r="R49" s="3"/>
      <c r="S49" s="3">
        <v>23509</v>
      </c>
      <c r="T49" s="3"/>
      <c r="U49" s="3">
        <v>857002</v>
      </c>
      <c r="V49" s="3"/>
      <c r="W49" s="3">
        <v>397060</v>
      </c>
      <c r="X49" s="3"/>
      <c r="Y49" s="3">
        <v>0</v>
      </c>
      <c r="Z49" s="3"/>
      <c r="AA49" s="3">
        <v>385835</v>
      </c>
      <c r="AC49" s="3">
        <v>42284</v>
      </c>
      <c r="AD49" s="3"/>
      <c r="AE49" s="3" t="s">
        <v>302</v>
      </c>
      <c r="AG49" s="16" t="s">
        <v>223</v>
      </c>
      <c r="AH49" s="3"/>
      <c r="AI49" s="3">
        <v>86190</v>
      </c>
      <c r="AJ49" s="3"/>
      <c r="AK49" s="3">
        <v>0</v>
      </c>
      <c r="AL49" s="3"/>
      <c r="AM49" s="3">
        <v>0</v>
      </c>
      <c r="AN49" s="3"/>
      <c r="AO49" s="3">
        <v>0</v>
      </c>
      <c r="AP49" s="3"/>
      <c r="AQ49" s="3">
        <v>13767</v>
      </c>
      <c r="AR49" s="3"/>
      <c r="AS49" s="3">
        <v>2452335</v>
      </c>
      <c r="AT49" s="3"/>
      <c r="AU49" s="3">
        <v>0</v>
      </c>
      <c r="AV49" s="3"/>
      <c r="AW49" s="3">
        <v>0</v>
      </c>
      <c r="AX49" s="3"/>
      <c r="AY49" s="3">
        <v>33333</v>
      </c>
      <c r="AZ49" s="3"/>
      <c r="BA49" s="3">
        <v>0</v>
      </c>
      <c r="BB49" s="3"/>
      <c r="BC49" s="17">
        <f t="shared" si="1"/>
        <v>9552649</v>
      </c>
      <c r="BD49" s="3" t="s">
        <v>302</v>
      </c>
      <c r="BF49" s="16" t="s">
        <v>223</v>
      </c>
      <c r="BG49" s="3"/>
      <c r="BH49" s="3">
        <v>187819</v>
      </c>
      <c r="BI49" s="3"/>
      <c r="BJ49" s="3">
        <v>0</v>
      </c>
      <c r="BK49" s="3"/>
      <c r="BL49" s="3">
        <v>0</v>
      </c>
      <c r="BM49" s="3"/>
      <c r="BN49" s="3">
        <v>0</v>
      </c>
      <c r="BO49" s="3"/>
      <c r="BP49" s="17">
        <f t="shared" si="0"/>
        <v>9740468</v>
      </c>
      <c r="BQ49" s="3"/>
      <c r="BR49" s="17">
        <f>GovRev!AX49-BP49</f>
        <v>-1275481</v>
      </c>
      <c r="BS49" s="3"/>
      <c r="BT49" s="3">
        <v>13675815</v>
      </c>
      <c r="BU49" s="3"/>
      <c r="BV49" s="3">
        <v>0</v>
      </c>
      <c r="BW49" s="3"/>
      <c r="BX49" s="17">
        <f t="shared" si="2"/>
        <v>12400334</v>
      </c>
      <c r="BY49" s="17"/>
      <c r="BZ49" s="17">
        <f>-BX49+GovBS!AC49</f>
        <v>0</v>
      </c>
    </row>
    <row r="50" spans="1:78" s="16" customFormat="1" ht="12">
      <c r="A50" s="3" t="s">
        <v>303</v>
      </c>
      <c r="B50" s="3"/>
      <c r="C50" s="3" t="s">
        <v>217</v>
      </c>
      <c r="D50" s="3"/>
      <c r="E50" s="3">
        <v>51490</v>
      </c>
      <c r="F50" s="3"/>
      <c r="G50" s="3">
        <v>0</v>
      </c>
      <c r="H50" s="3"/>
      <c r="I50" s="3">
        <v>274648</v>
      </c>
      <c r="J50" s="3"/>
      <c r="K50" s="3">
        <v>5132120</v>
      </c>
      <c r="L50" s="3"/>
      <c r="M50" s="3">
        <v>0</v>
      </c>
      <c r="N50" s="3"/>
      <c r="O50" s="3">
        <v>456130</v>
      </c>
      <c r="P50" s="3"/>
      <c r="Q50" s="3">
        <v>406724</v>
      </c>
      <c r="R50" s="3"/>
      <c r="S50" s="3">
        <v>14572</v>
      </c>
      <c r="T50" s="3"/>
      <c r="U50" s="3">
        <v>1340643</v>
      </c>
      <c r="V50" s="3"/>
      <c r="W50" s="3">
        <v>385908</v>
      </c>
      <c r="X50" s="3"/>
      <c r="Y50" s="3">
        <v>0</v>
      </c>
      <c r="Z50" s="3"/>
      <c r="AA50" s="3">
        <v>1155146</v>
      </c>
      <c r="AC50" s="3">
        <v>16755</v>
      </c>
      <c r="AD50" s="3"/>
      <c r="AE50" s="3" t="s">
        <v>303</v>
      </c>
      <c r="AG50" s="16" t="s">
        <v>217</v>
      </c>
      <c r="AH50" s="3"/>
      <c r="AI50" s="3">
        <v>120780</v>
      </c>
      <c r="AJ50" s="3"/>
      <c r="AK50" s="3">
        <v>0</v>
      </c>
      <c r="AL50" s="3"/>
      <c r="AM50" s="3">
        <v>0</v>
      </c>
      <c r="AN50" s="3"/>
      <c r="AO50" s="3">
        <v>293880</v>
      </c>
      <c r="AP50" s="3"/>
      <c r="AQ50" s="3">
        <v>35468</v>
      </c>
      <c r="AR50" s="3"/>
      <c r="AS50" s="3">
        <v>1000393</v>
      </c>
      <c r="AT50" s="3"/>
      <c r="AU50" s="3">
        <v>0</v>
      </c>
      <c r="AV50" s="3"/>
      <c r="AW50" s="3">
        <v>14600</v>
      </c>
      <c r="AX50" s="3"/>
      <c r="AY50" s="3">
        <v>0</v>
      </c>
      <c r="AZ50" s="3"/>
      <c r="BA50" s="3">
        <v>0</v>
      </c>
      <c r="BB50" s="3"/>
      <c r="BC50" s="17">
        <f t="shared" si="1"/>
        <v>10647767</v>
      </c>
      <c r="BD50" s="3" t="s">
        <v>303</v>
      </c>
      <c r="BF50" s="16" t="s">
        <v>217</v>
      </c>
      <c r="BG50" s="3"/>
      <c r="BH50" s="3">
        <v>624052</v>
      </c>
      <c r="BI50" s="3"/>
      <c r="BJ50" s="3">
        <v>0</v>
      </c>
      <c r="BK50" s="3"/>
      <c r="BL50" s="3">
        <v>0</v>
      </c>
      <c r="BM50" s="3"/>
      <c r="BN50" s="3">
        <v>0</v>
      </c>
      <c r="BO50" s="3"/>
      <c r="BP50" s="17">
        <f t="shared" si="0"/>
        <v>11271819</v>
      </c>
      <c r="BQ50" s="3"/>
      <c r="BR50" s="17">
        <f>GovRev!AX50-BP50</f>
        <v>344809</v>
      </c>
      <c r="BS50" s="3"/>
      <c r="BT50" s="3">
        <v>5474488</v>
      </c>
      <c r="BU50" s="3"/>
      <c r="BV50" s="3">
        <v>0</v>
      </c>
      <c r="BW50" s="3"/>
      <c r="BX50" s="17">
        <f t="shared" si="2"/>
        <v>5819297</v>
      </c>
      <c r="BY50" s="17"/>
      <c r="BZ50" s="17">
        <f>-BX50+GovBS!AC50</f>
        <v>0</v>
      </c>
    </row>
    <row r="51" spans="1:78" s="16" customFormat="1" ht="12">
      <c r="A51" s="3" t="s">
        <v>238</v>
      </c>
      <c r="B51" s="3"/>
      <c r="C51" s="3" t="s">
        <v>158</v>
      </c>
      <c r="D51" s="3"/>
      <c r="E51" s="3">
        <v>50799</v>
      </c>
      <c r="F51" s="3"/>
      <c r="G51" s="3">
        <v>183210</v>
      </c>
      <c r="H51" s="3"/>
      <c r="I51" s="3">
        <v>19533</v>
      </c>
      <c r="J51" s="3"/>
      <c r="K51" s="3">
        <v>3671523</v>
      </c>
      <c r="L51" s="3"/>
      <c r="M51" s="3">
        <v>142655</v>
      </c>
      <c r="N51" s="3"/>
      <c r="O51" s="3">
        <v>453373</v>
      </c>
      <c r="P51" s="3"/>
      <c r="Q51" s="3">
        <v>202249</v>
      </c>
      <c r="R51" s="3"/>
      <c r="S51" s="3">
        <v>39025</v>
      </c>
      <c r="T51" s="3"/>
      <c r="U51" s="3">
        <v>643374</v>
      </c>
      <c r="V51" s="3"/>
      <c r="W51" s="3">
        <v>411034</v>
      </c>
      <c r="X51" s="3"/>
      <c r="Y51" s="3">
        <v>5428</v>
      </c>
      <c r="Z51" s="3"/>
      <c r="AA51" s="3">
        <v>536747</v>
      </c>
      <c r="AC51" s="3">
        <v>37107</v>
      </c>
      <c r="AD51" s="3"/>
      <c r="AE51" s="3" t="s">
        <v>238</v>
      </c>
      <c r="AG51" s="16" t="s">
        <v>158</v>
      </c>
      <c r="AH51" s="3"/>
      <c r="AI51" s="3">
        <v>41036</v>
      </c>
      <c r="AJ51" s="3"/>
      <c r="AK51" s="3">
        <v>0</v>
      </c>
      <c r="AL51" s="3"/>
      <c r="AM51" s="3">
        <v>311269</v>
      </c>
      <c r="AN51" s="3"/>
      <c r="AO51" s="3">
        <v>0</v>
      </c>
      <c r="AP51" s="3"/>
      <c r="AQ51" s="3">
        <v>10728</v>
      </c>
      <c r="AR51" s="3"/>
      <c r="AS51" s="3">
        <v>403242</v>
      </c>
      <c r="AT51" s="3"/>
      <c r="AU51" s="3">
        <v>0</v>
      </c>
      <c r="AV51" s="3"/>
      <c r="AW51" s="3">
        <v>205457</v>
      </c>
      <c r="AX51" s="3"/>
      <c r="AY51" s="3">
        <v>25995</v>
      </c>
      <c r="AZ51" s="3"/>
      <c r="BA51" s="3">
        <v>0</v>
      </c>
      <c r="BB51" s="3"/>
      <c r="BC51" s="17">
        <f t="shared" si="1"/>
        <v>7342985</v>
      </c>
      <c r="BD51" s="3" t="s">
        <v>238</v>
      </c>
      <c r="BF51" s="16" t="s">
        <v>158</v>
      </c>
      <c r="BG51" s="3"/>
      <c r="BH51" s="3">
        <v>341315</v>
      </c>
      <c r="BI51" s="3"/>
      <c r="BJ51" s="3">
        <v>0</v>
      </c>
      <c r="BK51" s="3"/>
      <c r="BL51" s="3">
        <v>0</v>
      </c>
      <c r="BM51" s="3"/>
      <c r="BN51" s="3">
        <v>0</v>
      </c>
      <c r="BO51" s="3"/>
      <c r="BP51" s="17">
        <f t="shared" si="0"/>
        <v>7684300</v>
      </c>
      <c r="BQ51" s="3"/>
      <c r="BR51" s="17">
        <f>GovRev!AX51-BP51</f>
        <v>-501322</v>
      </c>
      <c r="BS51" s="3"/>
      <c r="BT51" s="3">
        <v>8597617</v>
      </c>
      <c r="BU51" s="3"/>
      <c r="BV51" s="3">
        <v>0</v>
      </c>
      <c r="BW51" s="3"/>
      <c r="BX51" s="17">
        <f t="shared" si="2"/>
        <v>8096295</v>
      </c>
      <c r="BY51" s="17"/>
      <c r="BZ51" s="17">
        <f>-BX51+GovBS!AC51</f>
        <v>0</v>
      </c>
    </row>
    <row r="52" spans="1:78" s="16" customFormat="1" ht="12">
      <c r="A52" s="3" t="s">
        <v>336</v>
      </c>
      <c r="B52" s="3"/>
      <c r="C52" s="3" t="s">
        <v>161</v>
      </c>
      <c r="D52" s="3"/>
      <c r="E52" s="3">
        <v>51532</v>
      </c>
      <c r="F52" s="3"/>
      <c r="G52" s="3">
        <v>0</v>
      </c>
      <c r="H52" s="3"/>
      <c r="I52" s="3">
        <v>716121</v>
      </c>
      <c r="J52" s="3"/>
      <c r="K52" s="3">
        <v>5618097</v>
      </c>
      <c r="L52" s="3"/>
      <c r="M52" s="3">
        <v>4849</v>
      </c>
      <c r="N52" s="3"/>
      <c r="O52" s="3">
        <v>806768</v>
      </c>
      <c r="P52" s="3"/>
      <c r="Q52" s="3">
        <v>526589</v>
      </c>
      <c r="R52" s="3"/>
      <c r="S52" s="3">
        <v>59415</v>
      </c>
      <c r="T52" s="3"/>
      <c r="U52" s="3">
        <v>731620</v>
      </c>
      <c r="V52" s="3"/>
      <c r="W52" s="3">
        <v>528700</v>
      </c>
      <c r="X52" s="3"/>
      <c r="Y52" s="3">
        <v>129494</v>
      </c>
      <c r="Z52" s="3"/>
      <c r="AA52" s="3">
        <v>1210761</v>
      </c>
      <c r="AC52" s="3">
        <v>41613</v>
      </c>
      <c r="AD52" s="3"/>
      <c r="AE52" s="3" t="s">
        <v>336</v>
      </c>
      <c r="AG52" s="16" t="s">
        <v>161</v>
      </c>
      <c r="AH52" s="3"/>
      <c r="AI52" s="3">
        <v>18115</v>
      </c>
      <c r="AJ52" s="3"/>
      <c r="AK52" s="3">
        <v>0</v>
      </c>
      <c r="AL52" s="3"/>
      <c r="AM52" s="3">
        <v>0</v>
      </c>
      <c r="AN52" s="3"/>
      <c r="AO52" s="3">
        <v>239143</v>
      </c>
      <c r="AP52" s="3"/>
      <c r="AQ52" s="3">
        <v>20379</v>
      </c>
      <c r="AR52" s="3"/>
      <c r="AS52" s="3">
        <v>171044</v>
      </c>
      <c r="AT52" s="3"/>
      <c r="AU52" s="3">
        <v>0</v>
      </c>
      <c r="AV52" s="3"/>
      <c r="AW52" s="3">
        <v>391931</v>
      </c>
      <c r="AX52" s="3"/>
      <c r="AY52" s="3">
        <v>157138</v>
      </c>
      <c r="AZ52" s="3"/>
      <c r="BA52" s="3">
        <v>0</v>
      </c>
      <c r="BB52" s="3"/>
      <c r="BC52" s="17">
        <f t="shared" si="1"/>
        <v>11371777</v>
      </c>
      <c r="BD52" s="3" t="s">
        <v>336</v>
      </c>
      <c r="BF52" s="16" t="s">
        <v>161</v>
      </c>
      <c r="BG52" s="3"/>
      <c r="BH52" s="3">
        <v>155252</v>
      </c>
      <c r="BI52" s="3"/>
      <c r="BJ52" s="3">
        <v>0</v>
      </c>
      <c r="BK52" s="3"/>
      <c r="BL52" s="3">
        <v>0</v>
      </c>
      <c r="BM52" s="3"/>
      <c r="BN52" s="3">
        <v>0</v>
      </c>
      <c r="BO52" s="3"/>
      <c r="BP52" s="17">
        <f t="shared" si="0"/>
        <v>11527029</v>
      </c>
      <c r="BQ52" s="3"/>
      <c r="BR52" s="17">
        <f>GovRev!AX52-BP52</f>
        <v>1155861</v>
      </c>
      <c r="BS52" s="3"/>
      <c r="BT52" s="3">
        <v>6547502</v>
      </c>
      <c r="BU52" s="3"/>
      <c r="BV52" s="3">
        <v>0</v>
      </c>
      <c r="BW52" s="3"/>
      <c r="BX52" s="17">
        <f t="shared" si="2"/>
        <v>7703363</v>
      </c>
      <c r="BY52" s="17"/>
      <c r="BZ52" s="17">
        <f>-BX52+GovBS!AC52</f>
        <v>0</v>
      </c>
    </row>
    <row r="53" spans="1:78" s="16" customFormat="1" ht="12">
      <c r="A53" s="3" t="s">
        <v>255</v>
      </c>
      <c r="B53" s="3"/>
      <c r="C53" s="3" t="s">
        <v>221</v>
      </c>
      <c r="D53" s="3"/>
      <c r="E53" s="3">
        <v>62026</v>
      </c>
      <c r="F53" s="3"/>
      <c r="G53" s="3">
        <v>794569</v>
      </c>
      <c r="H53" s="3"/>
      <c r="I53" s="3">
        <v>155752</v>
      </c>
      <c r="J53" s="3"/>
      <c r="K53" s="3">
        <v>3375523</v>
      </c>
      <c r="L53" s="3"/>
      <c r="M53" s="3">
        <v>237</v>
      </c>
      <c r="N53" s="3"/>
      <c r="O53" s="3">
        <v>1066281</v>
      </c>
      <c r="P53" s="3"/>
      <c r="Q53" s="3">
        <v>509518</v>
      </c>
      <c r="R53" s="3"/>
      <c r="S53" s="3">
        <v>16537</v>
      </c>
      <c r="T53" s="3"/>
      <c r="U53" s="3">
        <v>296691</v>
      </c>
      <c r="V53" s="3"/>
      <c r="W53" s="3">
        <v>254438</v>
      </c>
      <c r="X53" s="3"/>
      <c r="Y53" s="3">
        <v>35696</v>
      </c>
      <c r="Z53" s="3"/>
      <c r="AA53" s="3">
        <v>885506</v>
      </c>
      <c r="AC53" s="3">
        <v>0</v>
      </c>
      <c r="AD53" s="3"/>
      <c r="AE53" s="3" t="s">
        <v>255</v>
      </c>
      <c r="AG53" s="16" t="s">
        <v>221</v>
      </c>
      <c r="AH53" s="3"/>
      <c r="AI53" s="3">
        <v>122370</v>
      </c>
      <c r="AJ53" s="3"/>
      <c r="AK53" s="3">
        <v>0</v>
      </c>
      <c r="AL53" s="3"/>
      <c r="AM53" s="3">
        <v>252534</v>
      </c>
      <c r="AN53" s="3"/>
      <c r="AO53" s="3">
        <v>833</v>
      </c>
      <c r="AP53" s="3"/>
      <c r="AQ53" s="3">
        <v>44954</v>
      </c>
      <c r="AR53" s="3"/>
      <c r="AS53" s="3">
        <v>72</v>
      </c>
      <c r="AT53" s="3"/>
      <c r="AU53" s="3">
        <v>0</v>
      </c>
      <c r="AV53" s="3"/>
      <c r="AW53" s="3">
        <v>0</v>
      </c>
      <c r="AX53" s="3"/>
      <c r="AY53" s="3">
        <v>0</v>
      </c>
      <c r="AZ53" s="3"/>
      <c r="BA53" s="3">
        <v>0</v>
      </c>
      <c r="BB53" s="3"/>
      <c r="BC53" s="17">
        <f t="shared" si="1"/>
        <v>7811511</v>
      </c>
      <c r="BD53" s="3" t="s">
        <v>255</v>
      </c>
      <c r="BF53" s="16" t="s">
        <v>221</v>
      </c>
      <c r="BG53" s="3"/>
      <c r="BH53" s="3">
        <v>0</v>
      </c>
      <c r="BI53" s="3"/>
      <c r="BJ53" s="3">
        <v>0</v>
      </c>
      <c r="BK53" s="3"/>
      <c r="BL53" s="3">
        <v>0</v>
      </c>
      <c r="BM53" s="3"/>
      <c r="BN53" s="3">
        <v>0</v>
      </c>
      <c r="BO53" s="3"/>
      <c r="BP53" s="17">
        <f t="shared" si="0"/>
        <v>7811511</v>
      </c>
      <c r="BQ53" s="3"/>
      <c r="BR53" s="17">
        <f>GovRev!AX53-BP53</f>
        <v>89130</v>
      </c>
      <c r="BS53" s="3"/>
      <c r="BT53" s="3">
        <v>9527956</v>
      </c>
      <c r="BU53" s="3"/>
      <c r="BV53" s="3">
        <v>0</v>
      </c>
      <c r="BW53" s="3"/>
      <c r="BX53" s="17">
        <f t="shared" si="2"/>
        <v>9617086</v>
      </c>
      <c r="BY53" s="17"/>
      <c r="BZ53" s="17">
        <f>-BX53+GovBS!AC53</f>
        <v>0</v>
      </c>
    </row>
    <row r="54" spans="1:78" s="16" customFormat="1" ht="12">
      <c r="A54" s="3" t="s">
        <v>341</v>
      </c>
      <c r="B54" s="3"/>
      <c r="C54" s="3" t="s">
        <v>248</v>
      </c>
      <c r="D54" s="3"/>
      <c r="E54" s="3"/>
      <c r="F54" s="3"/>
      <c r="G54" s="3">
        <v>1650904</v>
      </c>
      <c r="H54" s="3"/>
      <c r="I54" s="3">
        <v>1027676</v>
      </c>
      <c r="J54" s="3"/>
      <c r="K54" s="3">
        <v>3849452</v>
      </c>
      <c r="L54" s="3"/>
      <c r="M54" s="3">
        <f>262837+159598</f>
        <v>422435</v>
      </c>
      <c r="N54" s="3"/>
      <c r="O54" s="3">
        <v>1088152</v>
      </c>
      <c r="P54" s="3"/>
      <c r="Q54" s="3">
        <v>1100489</v>
      </c>
      <c r="R54" s="3"/>
      <c r="S54" s="3">
        <v>70463</v>
      </c>
      <c r="T54" s="3"/>
      <c r="U54" s="3">
        <v>991440</v>
      </c>
      <c r="V54" s="3"/>
      <c r="W54" s="3">
        <v>381053</v>
      </c>
      <c r="X54" s="3"/>
      <c r="Y54" s="3">
        <v>0</v>
      </c>
      <c r="Z54" s="3"/>
      <c r="AA54" s="3">
        <v>1470749</v>
      </c>
      <c r="AC54" s="3">
        <v>21044</v>
      </c>
      <c r="AD54" s="3"/>
      <c r="AE54" s="3" t="s">
        <v>341</v>
      </c>
      <c r="AG54" s="16" t="s">
        <v>248</v>
      </c>
      <c r="AH54" s="3"/>
      <c r="AI54" s="3">
        <v>32888</v>
      </c>
      <c r="AJ54" s="3"/>
      <c r="AK54" s="3">
        <v>0</v>
      </c>
      <c r="AL54" s="3"/>
      <c r="AM54" s="3">
        <v>0</v>
      </c>
      <c r="AN54" s="3"/>
      <c r="AO54" s="3">
        <v>266868</v>
      </c>
      <c r="AP54" s="3"/>
      <c r="AQ54" s="3">
        <v>38205</v>
      </c>
      <c r="AR54" s="3"/>
      <c r="AS54" s="3">
        <v>75298</v>
      </c>
      <c r="AT54" s="3"/>
      <c r="AU54" s="3">
        <v>0</v>
      </c>
      <c r="AV54" s="3"/>
      <c r="AW54" s="3">
        <v>624500</v>
      </c>
      <c r="AX54" s="3"/>
      <c r="AY54" s="3">
        <v>236168</v>
      </c>
      <c r="AZ54" s="3"/>
      <c r="BA54" s="3">
        <v>0</v>
      </c>
      <c r="BB54" s="3"/>
      <c r="BC54" s="17">
        <f t="shared" si="1"/>
        <v>13347784</v>
      </c>
      <c r="BD54" s="3" t="s">
        <v>341</v>
      </c>
      <c r="BF54" s="16" t="s">
        <v>248</v>
      </c>
      <c r="BG54" s="3"/>
      <c r="BH54" s="3">
        <v>998225</v>
      </c>
      <c r="BI54" s="3"/>
      <c r="BJ54" s="3">
        <v>0</v>
      </c>
      <c r="BK54" s="3"/>
      <c r="BL54" s="3">
        <v>0</v>
      </c>
      <c r="BM54" s="3"/>
      <c r="BN54" s="3">
        <v>0</v>
      </c>
      <c r="BO54" s="3"/>
      <c r="BP54" s="17">
        <f t="shared" si="0"/>
        <v>14346009</v>
      </c>
      <c r="BQ54" s="3"/>
      <c r="BR54" s="17">
        <f>GovRev!AX54-BP54</f>
        <v>-722439</v>
      </c>
      <c r="BS54" s="3"/>
      <c r="BT54" s="3">
        <v>8384735</v>
      </c>
      <c r="BU54" s="3"/>
      <c r="BV54" s="3">
        <v>0</v>
      </c>
      <c r="BW54" s="3"/>
      <c r="BX54" s="17">
        <f t="shared" si="2"/>
        <v>7662296</v>
      </c>
      <c r="BY54" s="17"/>
      <c r="BZ54" s="17">
        <f>-BX54+GovBS!AC54</f>
        <v>0</v>
      </c>
    </row>
    <row r="55" spans="1:78" s="16" customFormat="1" ht="12">
      <c r="A55" s="3" t="s">
        <v>388</v>
      </c>
      <c r="B55" s="3"/>
      <c r="C55" s="3" t="s">
        <v>153</v>
      </c>
      <c r="D55" s="3"/>
      <c r="E55" s="3">
        <v>51607</v>
      </c>
      <c r="F55" s="3"/>
      <c r="G55" s="3">
        <v>422273</v>
      </c>
      <c r="H55" s="3"/>
      <c r="I55" s="3">
        <v>21439</v>
      </c>
      <c r="J55" s="3"/>
      <c r="K55" s="3">
        <v>4202296</v>
      </c>
      <c r="L55" s="3"/>
      <c r="M55" s="3">
        <v>219976</v>
      </c>
      <c r="N55" s="3"/>
      <c r="O55" s="3">
        <v>459059</v>
      </c>
      <c r="P55" s="3"/>
      <c r="Q55" s="3">
        <v>85748</v>
      </c>
      <c r="R55" s="3"/>
      <c r="S55" s="3">
        <v>103085</v>
      </c>
      <c r="T55" s="3"/>
      <c r="U55" s="3">
        <v>791339</v>
      </c>
      <c r="V55" s="3"/>
      <c r="W55" s="3">
        <v>468799</v>
      </c>
      <c r="X55" s="3"/>
      <c r="Y55" s="3">
        <v>58470</v>
      </c>
      <c r="Z55" s="3"/>
      <c r="AA55" s="3">
        <v>1268478</v>
      </c>
      <c r="AC55" s="3">
        <v>1248</v>
      </c>
      <c r="AD55" s="3"/>
      <c r="AE55" s="3" t="s">
        <v>388</v>
      </c>
      <c r="AG55" s="16" t="s">
        <v>153</v>
      </c>
      <c r="AH55" s="3"/>
      <c r="AI55" s="3">
        <v>178969</v>
      </c>
      <c r="AJ55" s="3"/>
      <c r="AK55" s="3">
        <v>0</v>
      </c>
      <c r="AL55" s="3"/>
      <c r="AM55" s="3">
        <v>0</v>
      </c>
      <c r="AN55" s="3"/>
      <c r="AO55" s="3">
        <v>181201</v>
      </c>
      <c r="AP55" s="3"/>
      <c r="AQ55" s="3">
        <v>10535</v>
      </c>
      <c r="AR55" s="3"/>
      <c r="AS55" s="3">
        <v>0</v>
      </c>
      <c r="AT55" s="3"/>
      <c r="AU55" s="3">
        <v>0</v>
      </c>
      <c r="AV55" s="3"/>
      <c r="AW55" s="3">
        <v>0</v>
      </c>
      <c r="AX55" s="3"/>
      <c r="AY55" s="3">
        <v>0</v>
      </c>
      <c r="AZ55" s="3"/>
      <c r="BA55" s="3">
        <v>0</v>
      </c>
      <c r="BB55" s="3"/>
      <c r="BC55" s="17">
        <f t="shared" si="1"/>
        <v>8472915</v>
      </c>
      <c r="BD55" s="3" t="s">
        <v>388</v>
      </c>
      <c r="BF55" s="16" t="s">
        <v>153</v>
      </c>
      <c r="BG55" s="3"/>
      <c r="BH55" s="3">
        <v>228500</v>
      </c>
      <c r="BI55" s="3"/>
      <c r="BJ55" s="3">
        <v>0</v>
      </c>
      <c r="BK55" s="3"/>
      <c r="BL55" s="3">
        <v>0</v>
      </c>
      <c r="BM55" s="3"/>
      <c r="BN55" s="3">
        <v>0</v>
      </c>
      <c r="BO55" s="3"/>
      <c r="BP55" s="17">
        <f t="shared" si="0"/>
        <v>8701415</v>
      </c>
      <c r="BQ55" s="3"/>
      <c r="BR55" s="17">
        <f>GovRev!AX55-BP55</f>
        <v>-209777</v>
      </c>
      <c r="BS55" s="3"/>
      <c r="BT55" s="3">
        <v>2858936</v>
      </c>
      <c r="BU55" s="3"/>
      <c r="BV55" s="3">
        <v>0</v>
      </c>
      <c r="BW55" s="3"/>
      <c r="BX55" s="17">
        <f t="shared" si="2"/>
        <v>2649159</v>
      </c>
      <c r="BY55" s="17"/>
      <c r="BZ55" s="17">
        <f>-BX55+GovBS!AC55</f>
        <v>0</v>
      </c>
    </row>
    <row r="56" spans="1:78" s="16" customFormat="1" ht="12">
      <c r="A56" s="3" t="s">
        <v>250</v>
      </c>
      <c r="B56" s="3"/>
      <c r="C56" s="3" t="s">
        <v>251</v>
      </c>
      <c r="D56" s="3"/>
      <c r="E56" s="3">
        <v>65268</v>
      </c>
      <c r="F56" s="3"/>
      <c r="G56" s="3">
        <v>246482</v>
      </c>
      <c r="H56" s="3"/>
      <c r="I56" s="3">
        <v>0</v>
      </c>
      <c r="J56" s="3"/>
      <c r="K56" s="3">
        <v>5607964</v>
      </c>
      <c r="L56" s="3"/>
      <c r="M56" s="3">
        <v>36726</v>
      </c>
      <c r="N56" s="3"/>
      <c r="O56" s="3">
        <v>757079</v>
      </c>
      <c r="P56" s="3"/>
      <c r="Q56" s="3">
        <v>326224</v>
      </c>
      <c r="R56" s="3"/>
      <c r="S56" s="3">
        <v>312788</v>
      </c>
      <c r="T56" s="3"/>
      <c r="U56" s="3">
        <v>768649</v>
      </c>
      <c r="V56" s="3"/>
      <c r="W56" s="3">
        <v>389574</v>
      </c>
      <c r="X56" s="3"/>
      <c r="Y56" s="3">
        <v>237873</v>
      </c>
      <c r="Z56" s="3"/>
      <c r="AA56" s="3">
        <v>797460</v>
      </c>
      <c r="AC56" s="3">
        <v>8643</v>
      </c>
      <c r="AD56" s="3"/>
      <c r="AE56" s="3" t="s">
        <v>250</v>
      </c>
      <c r="AG56" s="16" t="s">
        <v>251</v>
      </c>
      <c r="AH56" s="3"/>
      <c r="AI56" s="3">
        <v>212785</v>
      </c>
      <c r="AJ56" s="3"/>
      <c r="AK56" s="3">
        <v>0</v>
      </c>
      <c r="AL56" s="3"/>
      <c r="AM56" s="3">
        <v>0</v>
      </c>
      <c r="AN56" s="3"/>
      <c r="AO56" s="3">
        <v>38769</v>
      </c>
      <c r="AP56" s="3"/>
      <c r="AQ56" s="3">
        <v>25582</v>
      </c>
      <c r="AR56" s="3"/>
      <c r="AS56" s="3">
        <v>64304</v>
      </c>
      <c r="AT56" s="3"/>
      <c r="AU56" s="3">
        <v>0</v>
      </c>
      <c r="AV56" s="3"/>
      <c r="AW56" s="3">
        <v>88533</v>
      </c>
      <c r="AX56" s="3"/>
      <c r="AY56" s="3">
        <v>5058</v>
      </c>
      <c r="AZ56" s="3"/>
      <c r="BA56" s="3">
        <v>0</v>
      </c>
      <c r="BB56" s="3"/>
      <c r="BC56" s="17">
        <f t="shared" si="1"/>
        <v>9924493</v>
      </c>
      <c r="BD56" s="3" t="s">
        <v>250</v>
      </c>
      <c r="BF56" s="16" t="s">
        <v>251</v>
      </c>
      <c r="BG56" s="3"/>
      <c r="BH56" s="3">
        <v>131008</v>
      </c>
      <c r="BI56" s="3"/>
      <c r="BJ56" s="3">
        <v>0</v>
      </c>
      <c r="BK56" s="3"/>
      <c r="BL56" s="3">
        <v>0</v>
      </c>
      <c r="BM56" s="3"/>
      <c r="BN56" s="3">
        <v>0</v>
      </c>
      <c r="BO56" s="3"/>
      <c r="BP56" s="17">
        <f t="shared" si="0"/>
        <v>10055501</v>
      </c>
      <c r="BQ56" s="3"/>
      <c r="BR56" s="17">
        <f>GovRev!AX56-BP56</f>
        <v>1321589</v>
      </c>
      <c r="BS56" s="3"/>
      <c r="BT56" s="3">
        <v>1915820</v>
      </c>
      <c r="BU56" s="3"/>
      <c r="BV56" s="3">
        <v>0</v>
      </c>
      <c r="BW56" s="3"/>
      <c r="BX56" s="17">
        <f t="shared" si="2"/>
        <v>3237409</v>
      </c>
      <c r="BY56" s="17"/>
      <c r="BZ56" s="17">
        <f>-BX56+GovBS!AC56</f>
        <v>0</v>
      </c>
    </row>
    <row r="57" spans="1:78" s="16" customFormat="1" ht="12">
      <c r="A57" s="3" t="s">
        <v>304</v>
      </c>
      <c r="B57" s="3"/>
      <c r="C57" s="3" t="s">
        <v>225</v>
      </c>
      <c r="D57" s="3"/>
      <c r="E57" s="3">
        <v>51631</v>
      </c>
      <c r="F57" s="3"/>
      <c r="G57" s="3">
        <v>1859357</v>
      </c>
      <c r="H57" s="3"/>
      <c r="I57" s="3">
        <v>627303</v>
      </c>
      <c r="J57" s="3"/>
      <c r="K57" s="3">
        <v>5262798</v>
      </c>
      <c r="L57" s="3"/>
      <c r="M57" s="3">
        <v>235291</v>
      </c>
      <c r="N57" s="3"/>
      <c r="O57" s="3">
        <v>1334422</v>
      </c>
      <c r="P57" s="3"/>
      <c r="Q57" s="3">
        <v>466638</v>
      </c>
      <c r="R57" s="3"/>
      <c r="S57" s="3">
        <v>68064</v>
      </c>
      <c r="T57" s="3"/>
      <c r="U57" s="3">
        <v>2109312</v>
      </c>
      <c r="V57" s="3"/>
      <c r="W57" s="3">
        <v>549747</v>
      </c>
      <c r="X57" s="3"/>
      <c r="Y57" s="3">
        <v>41286</v>
      </c>
      <c r="Z57" s="3"/>
      <c r="AA57" s="3">
        <v>1193137</v>
      </c>
      <c r="AC57" s="3">
        <v>172891</v>
      </c>
      <c r="AD57" s="3"/>
      <c r="AE57" s="3" t="s">
        <v>304</v>
      </c>
      <c r="AG57" s="16" t="s">
        <v>225</v>
      </c>
      <c r="AH57" s="3"/>
      <c r="AI57" s="3">
        <v>137094</v>
      </c>
      <c r="AJ57" s="3"/>
      <c r="AK57" s="3">
        <v>0</v>
      </c>
      <c r="AL57" s="3"/>
      <c r="AM57" s="3">
        <v>364046</v>
      </c>
      <c r="AN57" s="3"/>
      <c r="AO57" s="3">
        <v>5439</v>
      </c>
      <c r="AP57" s="3"/>
      <c r="AQ57" s="3">
        <v>104841</v>
      </c>
      <c r="AR57" s="3"/>
      <c r="AS57" s="3">
        <v>26656</v>
      </c>
      <c r="AT57" s="3"/>
      <c r="AU57" s="3">
        <v>0</v>
      </c>
      <c r="AV57" s="3"/>
      <c r="AW57" s="3">
        <v>151000</v>
      </c>
      <c r="AX57" s="3"/>
      <c r="AY57" s="3">
        <v>276181</v>
      </c>
      <c r="AZ57" s="3"/>
      <c r="BA57" s="3">
        <v>0</v>
      </c>
      <c r="BB57" s="3"/>
      <c r="BC57" s="17">
        <f t="shared" si="1"/>
        <v>14985503</v>
      </c>
      <c r="BD57" s="3" t="s">
        <v>304</v>
      </c>
      <c r="BF57" s="16" t="s">
        <v>225</v>
      </c>
      <c r="BG57" s="3"/>
      <c r="BH57" s="3">
        <v>509459</v>
      </c>
      <c r="BI57" s="3"/>
      <c r="BJ57" s="3">
        <v>0</v>
      </c>
      <c r="BK57" s="3"/>
      <c r="BL57" s="3">
        <v>0</v>
      </c>
      <c r="BM57" s="3"/>
      <c r="BN57" s="3">
        <v>0</v>
      </c>
      <c r="BO57" s="3"/>
      <c r="BP57" s="17">
        <f t="shared" si="0"/>
        <v>15494962</v>
      </c>
      <c r="BQ57" s="3"/>
      <c r="BR57" s="17">
        <f>GovRev!AX57-BP57</f>
        <v>-78282</v>
      </c>
      <c r="BS57" s="3"/>
      <c r="BT57" s="3">
        <v>9839952</v>
      </c>
      <c r="BU57" s="3"/>
      <c r="BV57" s="3">
        <v>0</v>
      </c>
      <c r="BW57" s="3"/>
      <c r="BX57" s="17">
        <f t="shared" si="2"/>
        <v>9761670</v>
      </c>
      <c r="BY57" s="17"/>
      <c r="BZ57" s="17">
        <f>-BX57+GovBS!AC57</f>
        <v>0</v>
      </c>
    </row>
    <row r="58" spans="1:78" s="16" customFormat="1" ht="12">
      <c r="A58" s="3" t="s">
        <v>239</v>
      </c>
      <c r="B58" s="3"/>
      <c r="C58" s="3" t="s">
        <v>163</v>
      </c>
      <c r="D58" s="3"/>
      <c r="E58" s="3">
        <v>62802</v>
      </c>
      <c r="F58" s="3"/>
      <c r="G58" s="3">
        <v>280262</v>
      </c>
      <c r="H58" s="3"/>
      <c r="I58" s="3">
        <v>149678</v>
      </c>
      <c r="J58" s="3"/>
      <c r="K58" s="3">
        <v>3556697</v>
      </c>
      <c r="L58" s="3"/>
      <c r="M58" s="3">
        <v>342095</v>
      </c>
      <c r="N58" s="3"/>
      <c r="O58" s="3">
        <v>525001</v>
      </c>
      <c r="P58" s="3"/>
      <c r="Q58" s="3">
        <v>161403</v>
      </c>
      <c r="R58" s="3"/>
      <c r="S58" s="3">
        <v>68412</v>
      </c>
      <c r="T58" s="3"/>
      <c r="U58" s="3">
        <v>399717</v>
      </c>
      <c r="V58" s="3"/>
      <c r="W58" s="3">
        <v>451004</v>
      </c>
      <c r="X58" s="3"/>
      <c r="Y58" s="3">
        <v>646</v>
      </c>
      <c r="Z58" s="3"/>
      <c r="AA58" s="3">
        <v>686659</v>
      </c>
      <c r="AC58" s="3">
        <v>0</v>
      </c>
      <c r="AD58" s="3"/>
      <c r="AE58" s="3" t="s">
        <v>239</v>
      </c>
      <c r="AG58" s="16" t="s">
        <v>163</v>
      </c>
      <c r="AH58" s="3"/>
      <c r="AI58" s="3">
        <v>100409</v>
      </c>
      <c r="AJ58" s="3"/>
      <c r="AK58" s="3">
        <v>0</v>
      </c>
      <c r="AL58" s="3"/>
      <c r="AM58" s="3">
        <v>0</v>
      </c>
      <c r="AN58" s="3"/>
      <c r="AO58" s="3">
        <v>185431</v>
      </c>
      <c r="AP58" s="3"/>
      <c r="AQ58" s="3">
        <v>48195</v>
      </c>
      <c r="AR58" s="3"/>
      <c r="AS58" s="3">
        <v>0</v>
      </c>
      <c r="AT58" s="3"/>
      <c r="AU58" s="3">
        <v>0</v>
      </c>
      <c r="AV58" s="3"/>
      <c r="AW58" s="3">
        <v>58455</v>
      </c>
      <c r="AX58" s="3"/>
      <c r="AY58" s="3">
        <v>0</v>
      </c>
      <c r="AZ58" s="3"/>
      <c r="BA58" s="3">
        <v>0</v>
      </c>
      <c r="BB58" s="3"/>
      <c r="BC58" s="17">
        <f t="shared" si="1"/>
        <v>7014064</v>
      </c>
      <c r="BD58" s="3" t="s">
        <v>239</v>
      </c>
      <c r="BF58" s="16" t="s">
        <v>163</v>
      </c>
      <c r="BG58" s="3"/>
      <c r="BH58" s="3">
        <v>550000</v>
      </c>
      <c r="BI58" s="3"/>
      <c r="BJ58" s="3">
        <v>0</v>
      </c>
      <c r="BK58" s="3"/>
      <c r="BL58" s="3">
        <v>0</v>
      </c>
      <c r="BM58" s="3"/>
      <c r="BN58" s="3">
        <v>0</v>
      </c>
      <c r="BO58" s="3"/>
      <c r="BP58" s="17">
        <f t="shared" si="0"/>
        <v>7564064</v>
      </c>
      <c r="BQ58" s="3"/>
      <c r="BR58" s="17">
        <f>GovRev!AX58-BP58</f>
        <v>1309536</v>
      </c>
      <c r="BS58" s="3"/>
      <c r="BT58" s="3">
        <v>7324342</v>
      </c>
      <c r="BU58" s="3"/>
      <c r="BV58" s="3">
        <v>0</v>
      </c>
      <c r="BW58" s="3"/>
      <c r="BX58" s="17">
        <f t="shared" si="2"/>
        <v>8633878</v>
      </c>
      <c r="BY58" s="17"/>
      <c r="BZ58" s="17">
        <f>-BX58+GovBS!AC58</f>
        <v>0</v>
      </c>
    </row>
    <row r="59" spans="1:78" s="16" customFormat="1" ht="12">
      <c r="A59" s="3" t="s">
        <v>253</v>
      </c>
      <c r="B59" s="3"/>
      <c r="C59" s="3" t="s">
        <v>197</v>
      </c>
      <c r="D59" s="3"/>
      <c r="E59" s="3">
        <v>62125</v>
      </c>
      <c r="F59" s="3"/>
      <c r="G59" s="3">
        <v>1977730</v>
      </c>
      <c r="H59" s="3"/>
      <c r="I59" s="3">
        <v>1082928</v>
      </c>
      <c r="J59" s="3"/>
      <c r="K59" s="3">
        <v>8761900</v>
      </c>
      <c r="L59" s="3"/>
      <c r="M59" s="3">
        <f>1514319+93125</f>
        <v>1607444</v>
      </c>
      <c r="N59" s="3"/>
      <c r="O59" s="3">
        <v>1182675</v>
      </c>
      <c r="P59" s="3"/>
      <c r="Q59" s="3">
        <v>248297</v>
      </c>
      <c r="R59" s="3"/>
      <c r="S59" s="3">
        <v>69159</v>
      </c>
      <c r="T59" s="3"/>
      <c r="U59" s="3">
        <v>2519213</v>
      </c>
      <c r="V59" s="3"/>
      <c r="W59" s="3">
        <v>615280</v>
      </c>
      <c r="X59" s="3"/>
      <c r="Y59" s="3">
        <v>165723</v>
      </c>
      <c r="Z59" s="3"/>
      <c r="AA59" s="3">
        <v>1319015</v>
      </c>
      <c r="AC59" s="3">
        <v>58535</v>
      </c>
      <c r="AD59" s="3"/>
      <c r="AE59" s="3" t="s">
        <v>253</v>
      </c>
      <c r="AG59" s="16" t="s">
        <v>197</v>
      </c>
      <c r="AH59" s="3"/>
      <c r="AI59" s="3">
        <v>893653</v>
      </c>
      <c r="AJ59" s="3"/>
      <c r="AK59" s="3">
        <v>0</v>
      </c>
      <c r="AL59" s="3"/>
      <c r="AM59" s="3">
        <v>0</v>
      </c>
      <c r="AN59" s="3"/>
      <c r="AO59" s="3">
        <v>1245603</v>
      </c>
      <c r="AP59" s="3"/>
      <c r="AQ59" s="3">
        <v>55073</v>
      </c>
      <c r="AR59" s="3"/>
      <c r="AS59" s="3">
        <v>484195</v>
      </c>
      <c r="AT59" s="3"/>
      <c r="AU59" s="3">
        <v>0</v>
      </c>
      <c r="AV59" s="3"/>
      <c r="AW59" s="3">
        <v>50342</v>
      </c>
      <c r="AX59" s="3"/>
      <c r="AY59" s="3">
        <v>68882</v>
      </c>
      <c r="AZ59" s="3"/>
      <c r="BA59" s="3">
        <v>96757</v>
      </c>
      <c r="BB59" s="3"/>
      <c r="BC59" s="17">
        <f t="shared" si="1"/>
        <v>22502404</v>
      </c>
      <c r="BD59" s="3" t="s">
        <v>253</v>
      </c>
      <c r="BF59" s="16" t="s">
        <v>197</v>
      </c>
      <c r="BG59" s="3"/>
      <c r="BH59" s="3">
        <v>1089580</v>
      </c>
      <c r="BI59" s="3"/>
      <c r="BJ59" s="3">
        <v>0</v>
      </c>
      <c r="BK59" s="3"/>
      <c r="BL59" s="3">
        <v>0</v>
      </c>
      <c r="BM59" s="3"/>
      <c r="BN59" s="3">
        <v>0</v>
      </c>
      <c r="BO59" s="3"/>
      <c r="BP59" s="17">
        <f t="shared" si="0"/>
        <v>23591984</v>
      </c>
      <c r="BQ59" s="3"/>
      <c r="BR59" s="17">
        <f>GovRev!AX59-BP59</f>
        <v>7734088</v>
      </c>
      <c r="BS59" s="3"/>
      <c r="BT59" s="3">
        <v>7025859</v>
      </c>
      <c r="BU59" s="3"/>
      <c r="BV59" s="3">
        <v>0</v>
      </c>
      <c r="BW59" s="3"/>
      <c r="BX59" s="17">
        <f t="shared" si="2"/>
        <v>14759947</v>
      </c>
      <c r="BY59" s="17"/>
      <c r="BZ59" s="17">
        <f>-BX59+GovBS!AC59</f>
        <v>0</v>
      </c>
    </row>
    <row r="60" spans="1:78" s="16" customFormat="1" ht="12">
      <c r="A60" s="3" t="s">
        <v>305</v>
      </c>
      <c r="B60" s="3"/>
      <c r="C60" s="3" t="s">
        <v>216</v>
      </c>
      <c r="D60" s="3"/>
      <c r="E60" s="3">
        <v>51458</v>
      </c>
      <c r="F60" s="3"/>
      <c r="G60" s="3">
        <v>142682</v>
      </c>
      <c r="H60" s="3"/>
      <c r="I60" s="3">
        <v>133865</v>
      </c>
      <c r="J60" s="3"/>
      <c r="K60" s="3">
        <v>8638418</v>
      </c>
      <c r="L60" s="3"/>
      <c r="M60" s="3">
        <v>562452</v>
      </c>
      <c r="N60" s="3"/>
      <c r="O60" s="3">
        <v>613292</v>
      </c>
      <c r="P60" s="3"/>
      <c r="Q60" s="3">
        <v>799673</v>
      </c>
      <c r="R60" s="3"/>
      <c r="S60" s="3">
        <v>88794</v>
      </c>
      <c r="T60" s="3"/>
      <c r="U60" s="3">
        <v>768430</v>
      </c>
      <c r="V60" s="3"/>
      <c r="W60" s="3">
        <v>484165</v>
      </c>
      <c r="X60" s="3"/>
      <c r="Y60" s="3">
        <v>0</v>
      </c>
      <c r="Z60" s="3"/>
      <c r="AA60" s="3">
        <v>1492056</v>
      </c>
      <c r="AC60" s="3">
        <v>73404</v>
      </c>
      <c r="AD60" s="3"/>
      <c r="AE60" s="3" t="s">
        <v>305</v>
      </c>
      <c r="AG60" s="16" t="s">
        <v>216</v>
      </c>
      <c r="AH60" s="3"/>
      <c r="AI60" s="3">
        <v>0</v>
      </c>
      <c r="AJ60" s="3"/>
      <c r="AK60" s="3">
        <v>0</v>
      </c>
      <c r="AL60" s="3"/>
      <c r="AM60" s="3">
        <v>165248</v>
      </c>
      <c r="AN60" s="3"/>
      <c r="AO60" s="3">
        <v>405</v>
      </c>
      <c r="AP60" s="3"/>
      <c r="AQ60" s="3">
        <v>8642</v>
      </c>
      <c r="AR60" s="3"/>
      <c r="AS60" s="3">
        <v>566423</v>
      </c>
      <c r="AT60" s="3"/>
      <c r="AU60" s="3">
        <v>0</v>
      </c>
      <c r="AV60" s="3"/>
      <c r="AW60" s="3">
        <v>0</v>
      </c>
      <c r="AX60" s="3"/>
      <c r="AY60" s="3">
        <v>0</v>
      </c>
      <c r="AZ60" s="3"/>
      <c r="BA60" s="3">
        <v>0</v>
      </c>
      <c r="BB60" s="3"/>
      <c r="BC60" s="17">
        <f t="shared" si="1"/>
        <v>14537949</v>
      </c>
      <c r="BD60" s="3" t="s">
        <v>305</v>
      </c>
      <c r="BF60" s="16" t="s">
        <v>216</v>
      </c>
      <c r="BG60" s="3"/>
      <c r="BH60" s="3">
        <v>4601470</v>
      </c>
      <c r="BI60" s="3"/>
      <c r="BJ60" s="3">
        <v>0</v>
      </c>
      <c r="BK60" s="3"/>
      <c r="BL60" s="3">
        <v>0</v>
      </c>
      <c r="BM60" s="3"/>
      <c r="BN60" s="3">
        <v>0</v>
      </c>
      <c r="BO60" s="3"/>
      <c r="BP60" s="17">
        <f t="shared" si="0"/>
        <v>19139419</v>
      </c>
      <c r="BQ60" s="3"/>
      <c r="BR60" s="17">
        <f>GovRev!AX60-BP60</f>
        <v>8733391</v>
      </c>
      <c r="BS60" s="3"/>
      <c r="BT60" s="3">
        <v>15022519</v>
      </c>
      <c r="BU60" s="3"/>
      <c r="BV60" s="3">
        <v>0</v>
      </c>
      <c r="BW60" s="3"/>
      <c r="BX60" s="17">
        <f t="shared" si="2"/>
        <v>23755910</v>
      </c>
      <c r="BY60" s="17"/>
      <c r="BZ60" s="17">
        <f>-BX60+GovBS!AC60</f>
        <v>0</v>
      </c>
    </row>
    <row r="61" spans="1:78" s="16" customFormat="1" ht="12">
      <c r="A61" s="3" t="s">
        <v>306</v>
      </c>
      <c r="B61" s="3"/>
      <c r="C61" s="3" t="s">
        <v>229</v>
      </c>
      <c r="D61" s="3"/>
      <c r="E61" s="3">
        <v>51672</v>
      </c>
      <c r="F61" s="3"/>
      <c r="G61" s="3">
        <v>0</v>
      </c>
      <c r="H61" s="3"/>
      <c r="I61" s="3">
        <v>0</v>
      </c>
      <c r="J61" s="3"/>
      <c r="K61" s="3">
        <v>5093291</v>
      </c>
      <c r="L61" s="3"/>
      <c r="M61" s="3">
        <v>845373</v>
      </c>
      <c r="N61" s="3"/>
      <c r="O61" s="3">
        <v>500864</v>
      </c>
      <c r="P61" s="3"/>
      <c r="Q61" s="3">
        <v>282341</v>
      </c>
      <c r="R61" s="3"/>
      <c r="S61" s="3">
        <v>57850</v>
      </c>
      <c r="T61" s="3"/>
      <c r="U61" s="3">
        <v>621881</v>
      </c>
      <c r="V61" s="3"/>
      <c r="W61" s="3">
        <v>365650</v>
      </c>
      <c r="X61" s="3"/>
      <c r="Y61" s="3">
        <v>0</v>
      </c>
      <c r="Z61" s="3"/>
      <c r="AA61" s="3">
        <v>683582</v>
      </c>
      <c r="AC61" s="3">
        <v>2517</v>
      </c>
      <c r="AD61" s="3"/>
      <c r="AE61" s="3" t="s">
        <v>306</v>
      </c>
      <c r="AG61" s="16" t="s">
        <v>229</v>
      </c>
      <c r="AH61" s="3"/>
      <c r="AI61" s="3">
        <v>458888</v>
      </c>
      <c r="AJ61" s="3"/>
      <c r="AK61" s="3">
        <v>0</v>
      </c>
      <c r="AL61" s="3"/>
      <c r="AM61" s="3">
        <v>0</v>
      </c>
      <c r="AN61" s="3"/>
      <c r="AO61" s="3">
        <v>0</v>
      </c>
      <c r="AP61" s="3"/>
      <c r="AQ61" s="3">
        <v>43401</v>
      </c>
      <c r="AR61" s="3"/>
      <c r="AS61" s="3">
        <f>939877+40104</f>
        <v>979981</v>
      </c>
      <c r="AT61" s="3"/>
      <c r="AU61" s="3">
        <v>0</v>
      </c>
      <c r="AV61" s="3"/>
      <c r="AW61" s="3">
        <v>46724</v>
      </c>
      <c r="AX61" s="3"/>
      <c r="AY61" s="3">
        <v>21859</v>
      </c>
      <c r="AZ61" s="3"/>
      <c r="BA61" s="3">
        <v>51994</v>
      </c>
      <c r="BB61" s="3"/>
      <c r="BC61" s="17">
        <f t="shared" si="1"/>
        <v>10056196</v>
      </c>
      <c r="BD61" s="3" t="s">
        <v>306</v>
      </c>
      <c r="BF61" s="16" t="s">
        <v>229</v>
      </c>
      <c r="BG61" s="3"/>
      <c r="BH61" s="3">
        <v>741040</v>
      </c>
      <c r="BI61" s="3"/>
      <c r="BJ61" s="3">
        <v>0</v>
      </c>
      <c r="BK61" s="3"/>
      <c r="BL61" s="3">
        <v>0</v>
      </c>
      <c r="BM61" s="3"/>
      <c r="BN61" s="3">
        <v>0</v>
      </c>
      <c r="BO61" s="3"/>
      <c r="BP61" s="17">
        <f t="shared" si="0"/>
        <v>10797236</v>
      </c>
      <c r="BQ61" s="3"/>
      <c r="BR61" s="17">
        <f>GovRev!AX61-BP61</f>
        <v>13768799</v>
      </c>
      <c r="BS61" s="3"/>
      <c r="BT61" s="3">
        <v>6407337</v>
      </c>
      <c r="BU61" s="3"/>
      <c r="BV61" s="3">
        <v>0</v>
      </c>
      <c r="BW61" s="3"/>
      <c r="BX61" s="17">
        <f t="shared" si="2"/>
        <v>20176136</v>
      </c>
      <c r="BY61" s="17"/>
      <c r="BZ61" s="17">
        <f>-BX61+GovBS!AC61</f>
        <v>0</v>
      </c>
    </row>
    <row r="62" spans="1:78" s="16" customFormat="1" ht="12">
      <c r="A62" s="3" t="s">
        <v>257</v>
      </c>
      <c r="B62" s="3"/>
      <c r="C62" s="3" t="s">
        <v>231</v>
      </c>
      <c r="D62" s="3"/>
      <c r="E62" s="3">
        <v>51474</v>
      </c>
      <c r="F62" s="3"/>
      <c r="G62" s="3">
        <v>2123</v>
      </c>
      <c r="H62" s="3"/>
      <c r="I62" s="3">
        <v>152501</v>
      </c>
      <c r="J62" s="3"/>
      <c r="K62" s="3">
        <v>8232727</v>
      </c>
      <c r="L62" s="3"/>
      <c r="M62" s="3">
        <v>172717</v>
      </c>
      <c r="N62" s="3"/>
      <c r="O62" s="3">
        <v>1084320</v>
      </c>
      <c r="P62" s="3"/>
      <c r="Q62" s="3">
        <v>742345</v>
      </c>
      <c r="R62" s="3"/>
      <c r="S62" s="3">
        <v>19400</v>
      </c>
      <c r="T62" s="3"/>
      <c r="U62" s="3">
        <v>1352203</v>
      </c>
      <c r="V62" s="3"/>
      <c r="W62" s="3">
        <v>503842</v>
      </c>
      <c r="X62" s="3"/>
      <c r="Y62" s="3">
        <v>64458</v>
      </c>
      <c r="Z62" s="3"/>
      <c r="AA62" s="3">
        <v>1055836</v>
      </c>
      <c r="AC62" s="3">
        <v>109047</v>
      </c>
      <c r="AD62" s="3"/>
      <c r="AE62" s="3" t="s">
        <v>257</v>
      </c>
      <c r="AG62" s="16" t="s">
        <v>231</v>
      </c>
      <c r="AH62" s="3"/>
      <c r="AI62" s="3">
        <v>1834254</v>
      </c>
      <c r="AJ62" s="3"/>
      <c r="AK62" s="3">
        <v>0</v>
      </c>
      <c r="AL62" s="3"/>
      <c r="AM62" s="3">
        <v>0</v>
      </c>
      <c r="AN62" s="3"/>
      <c r="AO62" s="3">
        <v>371888</v>
      </c>
      <c r="AP62" s="3"/>
      <c r="AQ62" s="3">
        <v>108207</v>
      </c>
      <c r="AR62" s="3"/>
      <c r="AS62" s="3">
        <v>3299853</v>
      </c>
      <c r="AT62" s="3"/>
      <c r="AU62" s="3">
        <v>0</v>
      </c>
      <c r="AV62" s="3"/>
      <c r="AW62" s="3">
        <v>636246</v>
      </c>
      <c r="AX62" s="3"/>
      <c r="AY62" s="3">
        <v>248909</v>
      </c>
      <c r="AZ62" s="3"/>
      <c r="BA62" s="3">
        <v>0</v>
      </c>
      <c r="BB62" s="3"/>
      <c r="BC62" s="17">
        <f t="shared" si="1"/>
        <v>19990876</v>
      </c>
      <c r="BD62" s="3" t="s">
        <v>257</v>
      </c>
      <c r="BF62" s="16" t="s">
        <v>231</v>
      </c>
      <c r="BG62" s="3"/>
      <c r="BH62" s="3">
        <v>1103571</v>
      </c>
      <c r="BI62" s="3"/>
      <c r="BJ62" s="3">
        <v>0</v>
      </c>
      <c r="BK62" s="3"/>
      <c r="BL62" s="3">
        <v>0</v>
      </c>
      <c r="BM62" s="3"/>
      <c r="BN62" s="3">
        <v>0</v>
      </c>
      <c r="BO62" s="3"/>
      <c r="BP62" s="17">
        <f t="shared" si="0"/>
        <v>21094447</v>
      </c>
      <c r="BQ62" s="3"/>
      <c r="BR62" s="17">
        <f>GovRev!AX62-BP62</f>
        <v>-1584218</v>
      </c>
      <c r="BS62" s="3"/>
      <c r="BT62" s="3">
        <f>9142948+55175+3978020+269024</f>
        <v>13445167</v>
      </c>
      <c r="BU62" s="3"/>
      <c r="BV62" s="3">
        <v>0</v>
      </c>
      <c r="BW62" s="3"/>
      <c r="BX62" s="17">
        <f t="shared" si="2"/>
        <v>11860949</v>
      </c>
      <c r="BY62" s="17"/>
      <c r="BZ62" s="17">
        <f>-BX62+GovBS!AC62</f>
        <v>0</v>
      </c>
    </row>
    <row r="63" spans="1:78" s="16" customFormat="1" ht="12">
      <c r="A63" s="3" t="s">
        <v>325</v>
      </c>
      <c r="B63" s="3"/>
      <c r="C63" s="3" t="s">
        <v>232</v>
      </c>
      <c r="D63" s="3"/>
      <c r="E63" s="3">
        <v>51698</v>
      </c>
      <c r="F63" s="3"/>
      <c r="G63" s="3">
        <v>830898</v>
      </c>
      <c r="H63" s="3"/>
      <c r="I63" s="3">
        <v>0</v>
      </c>
      <c r="J63" s="3"/>
      <c r="K63" s="3">
        <v>1921776</v>
      </c>
      <c r="L63" s="3"/>
      <c r="M63" s="3">
        <v>310</v>
      </c>
      <c r="N63" s="3"/>
      <c r="O63" s="3">
        <v>371075</v>
      </c>
      <c r="P63" s="3"/>
      <c r="Q63" s="3">
        <v>294540</v>
      </c>
      <c r="R63" s="3"/>
      <c r="S63" s="3">
        <v>17372</v>
      </c>
      <c r="T63" s="3"/>
      <c r="U63" s="3">
        <v>471666</v>
      </c>
      <c r="V63" s="3"/>
      <c r="W63" s="3">
        <v>311526</v>
      </c>
      <c r="X63" s="3"/>
      <c r="Y63" s="3">
        <v>68464</v>
      </c>
      <c r="Z63" s="3"/>
      <c r="AA63" s="3">
        <v>683485</v>
      </c>
      <c r="AC63" s="3">
        <v>11493</v>
      </c>
      <c r="AD63" s="3"/>
      <c r="AE63" s="3" t="s">
        <v>325</v>
      </c>
      <c r="AG63" s="16" t="s">
        <v>232</v>
      </c>
      <c r="AH63" s="3"/>
      <c r="AI63" s="3">
        <v>313709</v>
      </c>
      <c r="AJ63" s="3"/>
      <c r="AK63" s="3">
        <v>0</v>
      </c>
      <c r="AL63" s="3"/>
      <c r="AM63" s="3">
        <v>0</v>
      </c>
      <c r="AN63" s="3"/>
      <c r="AO63" s="3">
        <v>685613</v>
      </c>
      <c r="AP63" s="3"/>
      <c r="AQ63" s="3">
        <v>1838</v>
      </c>
      <c r="AR63" s="3"/>
      <c r="AS63" s="3">
        <v>562706</v>
      </c>
      <c r="AT63" s="3"/>
      <c r="AU63" s="3">
        <v>0</v>
      </c>
      <c r="AV63" s="3"/>
      <c r="AW63" s="3">
        <v>105709</v>
      </c>
      <c r="AX63" s="3"/>
      <c r="AY63" s="3">
        <v>65541</v>
      </c>
      <c r="AZ63" s="3"/>
      <c r="BA63" s="3">
        <v>0</v>
      </c>
      <c r="BB63" s="3"/>
      <c r="BC63" s="17">
        <f t="shared" si="1"/>
        <v>6717721</v>
      </c>
      <c r="BD63" s="3" t="s">
        <v>325</v>
      </c>
      <c r="BF63" s="16" t="s">
        <v>232</v>
      </c>
      <c r="BG63" s="3"/>
      <c r="BH63" s="3">
        <v>9444</v>
      </c>
      <c r="BI63" s="3"/>
      <c r="BJ63" s="3">
        <v>0</v>
      </c>
      <c r="BK63" s="3"/>
      <c r="BL63" s="3">
        <v>0</v>
      </c>
      <c r="BM63" s="3"/>
      <c r="BN63" s="3">
        <v>0</v>
      </c>
      <c r="BO63" s="3"/>
      <c r="BP63" s="17">
        <f t="shared" si="0"/>
        <v>6727165</v>
      </c>
      <c r="BQ63" s="3"/>
      <c r="BR63" s="17">
        <f>GovRev!AX63-BP63</f>
        <v>90475</v>
      </c>
      <c r="BS63" s="3"/>
      <c r="BT63" s="3">
        <v>2844587</v>
      </c>
      <c r="BU63" s="3"/>
      <c r="BV63" s="3">
        <v>0</v>
      </c>
      <c r="BW63" s="3"/>
      <c r="BX63" s="17">
        <f t="shared" si="2"/>
        <v>2935062</v>
      </c>
      <c r="BY63" s="17"/>
      <c r="BZ63" s="17">
        <f>-BX63+GovBS!AC63</f>
        <v>0</v>
      </c>
    </row>
    <row r="64" spans="1:78" s="16" customFormat="1" ht="12">
      <c r="A64" s="3" t="s">
        <v>307</v>
      </c>
      <c r="B64" s="3"/>
      <c r="C64" s="3" t="s">
        <v>234</v>
      </c>
      <c r="D64" s="3"/>
      <c r="E64" s="3">
        <v>51714</v>
      </c>
      <c r="F64" s="3"/>
      <c r="G64" s="3">
        <v>1707728</v>
      </c>
      <c r="H64" s="3"/>
      <c r="I64" s="3">
        <v>8972</v>
      </c>
      <c r="J64" s="3"/>
      <c r="K64" s="3">
        <v>6907811</v>
      </c>
      <c r="L64" s="3"/>
      <c r="M64" s="3">
        <v>143426</v>
      </c>
      <c r="N64" s="3"/>
      <c r="O64" s="3">
        <v>628237</v>
      </c>
      <c r="P64" s="3"/>
      <c r="Q64" s="3">
        <v>1579470</v>
      </c>
      <c r="R64" s="3"/>
      <c r="S64" s="3">
        <v>52827</v>
      </c>
      <c r="T64" s="3"/>
      <c r="U64" s="3">
        <v>923703</v>
      </c>
      <c r="V64" s="3"/>
      <c r="W64" s="3">
        <v>488419</v>
      </c>
      <c r="X64" s="3"/>
      <c r="Y64" s="3">
        <v>0</v>
      </c>
      <c r="Z64" s="3"/>
      <c r="AA64" s="3">
        <v>1055285</v>
      </c>
      <c r="AC64" s="3">
        <v>51324</v>
      </c>
      <c r="AD64" s="3"/>
      <c r="AE64" s="3" t="s">
        <v>307</v>
      </c>
      <c r="AG64" s="16" t="s">
        <v>234</v>
      </c>
      <c r="AH64" s="3"/>
      <c r="AI64" s="3">
        <v>111441</v>
      </c>
      <c r="AJ64" s="3"/>
      <c r="AK64" s="3">
        <v>0</v>
      </c>
      <c r="AL64" s="3"/>
      <c r="AM64" s="3">
        <v>237422</v>
      </c>
      <c r="AN64" s="3"/>
      <c r="AO64" s="3">
        <v>483854</v>
      </c>
      <c r="AP64" s="3"/>
      <c r="AQ64" s="3">
        <v>0</v>
      </c>
      <c r="AR64" s="3"/>
      <c r="AS64" s="3">
        <v>12964677</v>
      </c>
      <c r="AT64" s="3"/>
      <c r="AU64" s="3">
        <v>0</v>
      </c>
      <c r="AV64" s="3"/>
      <c r="AW64" s="3">
        <v>870000</v>
      </c>
      <c r="AX64" s="3"/>
      <c r="AY64" s="3">
        <v>365994</v>
      </c>
      <c r="AZ64" s="3"/>
      <c r="BA64" s="3">
        <v>0</v>
      </c>
      <c r="BB64" s="3"/>
      <c r="BC64" s="17">
        <f t="shared" si="1"/>
        <v>28580590</v>
      </c>
      <c r="BD64" s="3" t="s">
        <v>307</v>
      </c>
      <c r="BF64" s="16" t="s">
        <v>234</v>
      </c>
      <c r="BG64" s="3"/>
      <c r="BH64" s="3">
        <v>399223</v>
      </c>
      <c r="BI64" s="3"/>
      <c r="BJ64" s="3">
        <v>0</v>
      </c>
      <c r="BK64" s="3"/>
      <c r="BL64" s="3">
        <v>0</v>
      </c>
      <c r="BM64" s="3"/>
      <c r="BN64" s="3">
        <v>0</v>
      </c>
      <c r="BO64" s="3"/>
      <c r="BP64" s="17">
        <f t="shared" si="0"/>
        <v>28979813</v>
      </c>
      <c r="BQ64" s="3"/>
      <c r="BR64" s="17">
        <f>GovRev!AX64-BP64</f>
        <v>-654726</v>
      </c>
      <c r="BS64" s="3"/>
      <c r="BT64" s="3">
        <v>18140301</v>
      </c>
      <c r="BU64" s="3"/>
      <c r="BV64" s="3">
        <v>0</v>
      </c>
      <c r="BW64" s="3"/>
      <c r="BX64" s="17">
        <f t="shared" si="2"/>
        <v>17485575</v>
      </c>
      <c r="BY64" s="17"/>
      <c r="BZ64" s="17">
        <f>-BX64+GovBS!AC64</f>
        <v>0</v>
      </c>
    </row>
    <row r="65" spans="1:80" s="16" customFormat="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C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H65" s="3"/>
      <c r="BI65" s="3"/>
      <c r="BJ65" s="3"/>
      <c r="BK65" s="3"/>
      <c r="BL65" s="3"/>
      <c r="BM65" s="3"/>
      <c r="BN65" s="3"/>
      <c r="BO65" s="3"/>
      <c r="BP65" s="17"/>
      <c r="BQ65" s="3"/>
      <c r="BR65" s="17"/>
      <c r="BS65" s="3"/>
      <c r="BT65" s="3"/>
      <c r="BU65" s="3"/>
      <c r="BV65" s="3"/>
      <c r="BW65" s="3"/>
      <c r="BX65" s="17"/>
      <c r="BY65" s="3"/>
      <c r="BZ65" s="17"/>
    </row>
    <row r="66" spans="1:80" s="16" customFormat="1" ht="12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C66" s="17" t="s">
        <v>310</v>
      </c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17" t="s">
        <v>310</v>
      </c>
      <c r="BH66" s="3"/>
      <c r="BI66" s="3"/>
      <c r="BJ66" s="3"/>
      <c r="BK66" s="3"/>
      <c r="BL66" s="3"/>
      <c r="BM66" s="3"/>
      <c r="BN66" s="3"/>
      <c r="BO66" s="3"/>
      <c r="BP66" s="17"/>
      <c r="BQ66" s="3"/>
      <c r="BR66" s="17"/>
      <c r="BS66" s="3"/>
      <c r="BT66" s="3"/>
      <c r="BU66" s="3"/>
      <c r="BV66" s="3"/>
      <c r="BW66" s="3"/>
      <c r="BX66" s="17" t="s">
        <v>310</v>
      </c>
      <c r="BY66" s="3"/>
      <c r="BZ66" s="17"/>
    </row>
    <row r="67" spans="1:80" s="16" customFormat="1" ht="12">
      <c r="A67" s="13" t="s">
        <v>309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C67" s="3"/>
      <c r="AE67" s="44" t="s">
        <v>309</v>
      </c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44" t="s">
        <v>309</v>
      </c>
      <c r="BH67" s="3"/>
      <c r="BI67" s="3"/>
      <c r="BJ67" s="3"/>
      <c r="BK67" s="3"/>
      <c r="BL67" s="3"/>
      <c r="BM67" s="3"/>
      <c r="BN67" s="3"/>
      <c r="BO67" s="3"/>
      <c r="BP67" s="17"/>
      <c r="BQ67" s="3"/>
      <c r="BR67" s="17"/>
      <c r="BS67" s="3"/>
      <c r="BT67" s="3"/>
      <c r="BU67" s="3"/>
      <c r="BV67" s="3"/>
      <c r="BW67" s="3"/>
      <c r="BX67" s="17"/>
      <c r="BY67" s="3"/>
      <c r="BZ67" s="17"/>
    </row>
    <row r="68" spans="1:80" s="16" customFormat="1" ht="1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C68" s="3"/>
      <c r="AE68" s="44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44"/>
      <c r="BH68" s="3"/>
      <c r="BI68" s="3"/>
      <c r="BJ68" s="3"/>
      <c r="BK68" s="3"/>
      <c r="BL68" s="3"/>
      <c r="BM68" s="3"/>
      <c r="BN68" s="3"/>
      <c r="BO68" s="3"/>
      <c r="BP68" s="17"/>
      <c r="BQ68" s="3"/>
      <c r="BR68" s="17"/>
      <c r="BS68" s="3"/>
      <c r="BT68" s="3"/>
      <c r="BU68" s="3"/>
      <c r="BV68" s="3"/>
      <c r="BW68" s="3"/>
      <c r="BX68" s="17"/>
      <c r="BY68" s="3"/>
      <c r="BZ68" s="17"/>
    </row>
    <row r="69" spans="1:80" hidden="1">
      <c r="A69" s="3" t="s">
        <v>345</v>
      </c>
      <c r="B69" s="3"/>
      <c r="C69" s="3" t="s">
        <v>321</v>
      </c>
      <c r="D69" s="21"/>
      <c r="E69" s="3">
        <v>45849</v>
      </c>
      <c r="F69" s="21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C69" s="3"/>
      <c r="AD69" s="34"/>
      <c r="AE69" s="3" t="s">
        <v>345</v>
      </c>
      <c r="AF69" s="3"/>
      <c r="AG69" s="3" t="s">
        <v>152</v>
      </c>
      <c r="AH69" s="3"/>
      <c r="AI69" s="3"/>
      <c r="AJ69" s="3"/>
      <c r="AK69" s="3"/>
      <c r="AL69" s="21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17">
        <f>SUM(G69:BA69)</f>
        <v>0</v>
      </c>
      <c r="BD69" s="3" t="s">
        <v>345</v>
      </c>
      <c r="BE69" s="3"/>
      <c r="BF69" s="3" t="s">
        <v>152</v>
      </c>
      <c r="BG69" s="34"/>
      <c r="BH69" s="3"/>
      <c r="BI69" s="3"/>
      <c r="BJ69" s="3"/>
      <c r="BK69" s="3"/>
      <c r="BL69" s="3"/>
      <c r="BM69" s="3"/>
      <c r="BN69" s="3"/>
      <c r="BO69" s="3"/>
      <c r="BP69" s="17">
        <f t="shared" ref="BP69:BP112" si="3">+BC69+BH69+BJ69+BN69+BL69</f>
        <v>0</v>
      </c>
      <c r="BQ69" s="3"/>
      <c r="BR69" s="17">
        <f>GovRev!AX69-BP69</f>
        <v>0</v>
      </c>
      <c r="BS69" s="3"/>
      <c r="BT69" s="3"/>
      <c r="BU69" s="3"/>
      <c r="BV69" s="3"/>
      <c r="BW69" s="3"/>
      <c r="BX69" s="17">
        <f t="shared" si="2"/>
        <v>0</v>
      </c>
      <c r="BY69" s="17"/>
      <c r="BZ69" s="17">
        <f>-BX69+GovBS!AC69</f>
        <v>0</v>
      </c>
      <c r="CA69" s="34"/>
      <c r="CB69" s="34"/>
    </row>
    <row r="70" spans="1:80" s="34" customFormat="1" ht="12" hidden="1">
      <c r="A70" s="3" t="s">
        <v>346</v>
      </c>
      <c r="B70" s="3"/>
      <c r="C70" s="3" t="s">
        <v>152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C70" s="3"/>
      <c r="AD70" s="3"/>
      <c r="AE70" s="3" t="s">
        <v>346</v>
      </c>
      <c r="AF70" s="3"/>
      <c r="AG70" s="3" t="s">
        <v>152</v>
      </c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17">
        <f>SUM(G70:BA70)</f>
        <v>0</v>
      </c>
      <c r="BD70" s="3" t="s">
        <v>346</v>
      </c>
      <c r="BE70" s="3"/>
      <c r="BF70" s="3" t="s">
        <v>152</v>
      </c>
      <c r="BG70" s="3"/>
      <c r="BH70" s="3"/>
      <c r="BI70" s="3"/>
      <c r="BJ70" s="3"/>
      <c r="BK70" s="3"/>
      <c r="BL70" s="3"/>
      <c r="BM70" s="3"/>
      <c r="BN70" s="3"/>
      <c r="BO70" s="3"/>
      <c r="BP70" s="17">
        <f t="shared" si="3"/>
        <v>0</v>
      </c>
      <c r="BQ70" s="3"/>
      <c r="BR70" s="17">
        <f>GovRev!AX70-BP70</f>
        <v>0</v>
      </c>
      <c r="BS70" s="3"/>
      <c r="BT70" s="3"/>
      <c r="BU70" s="3"/>
      <c r="BV70" s="3"/>
      <c r="BW70" s="3"/>
      <c r="BX70" s="17">
        <f t="shared" si="2"/>
        <v>0</v>
      </c>
      <c r="BY70" s="17"/>
      <c r="BZ70" s="17">
        <f>-BX70+GovBS!AC70</f>
        <v>0</v>
      </c>
      <c r="CA70" s="16"/>
      <c r="CB70" s="16"/>
    </row>
    <row r="71" spans="1:80" s="16" customFormat="1" ht="12">
      <c r="A71" s="3" t="s">
        <v>156</v>
      </c>
      <c r="B71" s="3"/>
      <c r="C71" s="3" t="s">
        <v>153</v>
      </c>
      <c r="D71" s="3"/>
      <c r="E71" s="3">
        <v>135145</v>
      </c>
      <c r="F71" s="3"/>
      <c r="G71" s="34">
        <v>1296795</v>
      </c>
      <c r="H71" s="34"/>
      <c r="I71" s="34">
        <v>2095623</v>
      </c>
      <c r="J71" s="34"/>
      <c r="K71" s="34">
        <v>28774</v>
      </c>
      <c r="L71" s="34"/>
      <c r="M71" s="34">
        <f>73436+13087</f>
        <v>86523</v>
      </c>
      <c r="N71" s="34"/>
      <c r="O71" s="34">
        <v>990290</v>
      </c>
      <c r="P71" s="34"/>
      <c r="Q71" s="34">
        <v>1713057</v>
      </c>
      <c r="R71" s="34"/>
      <c r="S71" s="34">
        <v>91529</v>
      </c>
      <c r="T71" s="34"/>
      <c r="U71" s="34">
        <v>691836</v>
      </c>
      <c r="V71" s="34"/>
      <c r="W71" s="34">
        <v>476091</v>
      </c>
      <c r="X71" s="34"/>
      <c r="Y71" s="34">
        <v>0</v>
      </c>
      <c r="Z71" s="34"/>
      <c r="AA71" s="34">
        <v>245171</v>
      </c>
      <c r="AB71" s="34"/>
      <c r="AC71" s="34">
        <v>544796</v>
      </c>
      <c r="AD71" s="34"/>
      <c r="AE71" s="34" t="s">
        <v>156</v>
      </c>
      <c r="AF71" s="34"/>
      <c r="AG71" s="34" t="s">
        <v>153</v>
      </c>
      <c r="AH71" s="34"/>
      <c r="AI71" s="34">
        <v>43389</v>
      </c>
      <c r="AJ71" s="34"/>
      <c r="AK71" s="34">
        <v>0</v>
      </c>
      <c r="AL71" s="34"/>
      <c r="AM71" s="34">
        <v>0</v>
      </c>
      <c r="AN71" s="34"/>
      <c r="AO71" s="34">
        <v>221118</v>
      </c>
      <c r="AP71" s="34"/>
      <c r="AQ71" s="34">
        <v>1500</v>
      </c>
      <c r="AR71" s="34"/>
      <c r="AS71" s="34">
        <v>0</v>
      </c>
      <c r="AT71" s="34"/>
      <c r="AU71" s="34">
        <v>0</v>
      </c>
      <c r="AV71" s="34"/>
      <c r="AW71" s="34">
        <v>0</v>
      </c>
      <c r="AX71" s="34"/>
      <c r="AY71" s="34">
        <v>0</v>
      </c>
      <c r="AZ71" s="34"/>
      <c r="BA71" s="34">
        <v>0</v>
      </c>
      <c r="BB71" s="34"/>
      <c r="BC71" s="62">
        <f>SUM(G71:BA71)</f>
        <v>8526492</v>
      </c>
      <c r="BD71" s="34" t="s">
        <v>156</v>
      </c>
      <c r="BE71" s="34"/>
      <c r="BF71" s="34" t="s">
        <v>153</v>
      </c>
      <c r="BG71" s="34"/>
      <c r="BH71" s="34">
        <v>0</v>
      </c>
      <c r="BI71" s="34"/>
      <c r="BJ71" s="34"/>
      <c r="BK71" s="34"/>
      <c r="BL71" s="34"/>
      <c r="BM71" s="34"/>
      <c r="BN71" s="34">
        <v>0</v>
      </c>
      <c r="BO71" s="34"/>
      <c r="BP71" s="62">
        <f t="shared" si="3"/>
        <v>8526492</v>
      </c>
      <c r="BQ71" s="34"/>
      <c r="BR71" s="62">
        <f>GovRev!AX71-BP71</f>
        <v>-118272</v>
      </c>
      <c r="BS71" s="34"/>
      <c r="BT71" s="34">
        <v>452423</v>
      </c>
      <c r="BU71" s="34"/>
      <c r="BV71" s="34">
        <v>0</v>
      </c>
      <c r="BW71" s="34"/>
      <c r="BX71" s="62">
        <f t="shared" si="2"/>
        <v>334151</v>
      </c>
      <c r="BY71" s="62"/>
      <c r="BZ71" s="62">
        <f>-BX71+GovBS!AC71</f>
        <v>0</v>
      </c>
      <c r="CA71" s="34"/>
    </row>
    <row r="72" spans="1:80" s="16" customFormat="1" ht="12" hidden="1">
      <c r="A72" s="3" t="s">
        <v>362</v>
      </c>
      <c r="B72" s="3"/>
      <c r="C72" s="3" t="s">
        <v>322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 t="s">
        <v>362</v>
      </c>
      <c r="AF72" s="3"/>
      <c r="AG72" s="3" t="s">
        <v>322</v>
      </c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17">
        <f>SUM(G72:BA72)</f>
        <v>0</v>
      </c>
      <c r="BD72" s="3" t="s">
        <v>362</v>
      </c>
      <c r="BE72" s="3"/>
      <c r="BF72" s="3" t="s">
        <v>322</v>
      </c>
      <c r="BG72" s="3"/>
      <c r="BH72" s="3"/>
      <c r="BI72" s="3"/>
      <c r="BJ72" s="3"/>
      <c r="BK72" s="3"/>
      <c r="BL72" s="3"/>
      <c r="BM72" s="3"/>
      <c r="BN72" s="3"/>
      <c r="BO72" s="3"/>
      <c r="BP72" s="17">
        <f t="shared" si="3"/>
        <v>0</v>
      </c>
      <c r="BQ72" s="3"/>
      <c r="BR72" s="17">
        <f>GovRev!AX72-BP72</f>
        <v>0</v>
      </c>
      <c r="BS72" s="3"/>
      <c r="BT72" s="3"/>
      <c r="BU72" s="3"/>
      <c r="BV72" s="3"/>
      <c r="BW72" s="3"/>
      <c r="BX72" s="17">
        <f t="shared" si="2"/>
        <v>0</v>
      </c>
      <c r="BY72" s="17"/>
      <c r="BZ72" s="17">
        <f>-BX72+GovBS!AC72</f>
        <v>0</v>
      </c>
    </row>
    <row r="73" spans="1:80" s="16" customFormat="1" ht="12">
      <c r="A73" s="3" t="s">
        <v>365</v>
      </c>
      <c r="B73" s="3"/>
      <c r="C73" s="3" t="s">
        <v>158</v>
      </c>
      <c r="D73" s="3"/>
      <c r="E73" s="3">
        <v>46029</v>
      </c>
      <c r="F73" s="3"/>
      <c r="G73" s="3">
        <v>632446</v>
      </c>
      <c r="H73" s="3"/>
      <c r="I73" s="3">
        <v>1558645</v>
      </c>
      <c r="J73" s="3"/>
      <c r="K73" s="3">
        <v>0</v>
      </c>
      <c r="L73" s="3"/>
      <c r="M73" s="3">
        <v>14508</v>
      </c>
      <c r="N73" s="3"/>
      <c r="O73" s="3">
        <v>1241957</v>
      </c>
      <c r="P73" s="3"/>
      <c r="Q73" s="3">
        <v>623946</v>
      </c>
      <c r="R73" s="3"/>
      <c r="S73" s="3">
        <v>32056</v>
      </c>
      <c r="T73" s="3"/>
      <c r="U73" s="3">
        <v>222929</v>
      </c>
      <c r="V73" s="3"/>
      <c r="W73" s="3">
        <v>166465</v>
      </c>
      <c r="X73" s="3"/>
      <c r="Y73" s="3">
        <v>0</v>
      </c>
      <c r="Z73" s="3"/>
      <c r="AA73" s="3">
        <v>71950</v>
      </c>
      <c r="AB73" s="3"/>
      <c r="AC73" s="3">
        <v>0</v>
      </c>
      <c r="AD73" s="3"/>
      <c r="AE73" s="16" t="s">
        <v>365</v>
      </c>
      <c r="AG73" s="16" t="s">
        <v>158</v>
      </c>
      <c r="AH73" s="3"/>
      <c r="AI73" s="3">
        <v>226198</v>
      </c>
      <c r="AJ73" s="3"/>
      <c r="AK73" s="3">
        <v>0</v>
      </c>
      <c r="AL73" s="3"/>
      <c r="AM73" s="3">
        <v>0</v>
      </c>
      <c r="AN73" s="3"/>
      <c r="AO73" s="3">
        <v>0</v>
      </c>
      <c r="AP73" s="3"/>
      <c r="AQ73" s="3">
        <v>0</v>
      </c>
      <c r="AR73" s="3"/>
      <c r="AS73" s="3">
        <v>0</v>
      </c>
      <c r="AT73" s="3"/>
      <c r="AU73" s="3">
        <v>49062</v>
      </c>
      <c r="AV73" s="3"/>
      <c r="AW73" s="3">
        <v>0</v>
      </c>
      <c r="AX73" s="3"/>
      <c r="AY73" s="3">
        <v>0</v>
      </c>
      <c r="AZ73" s="3"/>
      <c r="BA73" s="3">
        <v>0</v>
      </c>
      <c r="BB73" s="3"/>
      <c r="BC73" s="17">
        <f>SUM(G73:BA73)</f>
        <v>4840162</v>
      </c>
      <c r="BD73" s="16" t="s">
        <v>365</v>
      </c>
      <c r="BF73" s="16" t="s">
        <v>158</v>
      </c>
      <c r="BG73" s="3"/>
      <c r="BH73" s="3">
        <v>0</v>
      </c>
      <c r="BI73" s="3"/>
      <c r="BJ73" s="3"/>
      <c r="BK73" s="3"/>
      <c r="BL73" s="3"/>
      <c r="BM73" s="3"/>
      <c r="BN73" s="3">
        <v>0</v>
      </c>
      <c r="BO73" s="3"/>
      <c r="BP73" s="17">
        <f t="shared" si="3"/>
        <v>4840162</v>
      </c>
      <c r="BQ73" s="3"/>
      <c r="BR73" s="17">
        <f>GovRev!AX73-BP73</f>
        <v>-45412</v>
      </c>
      <c r="BS73" s="3"/>
      <c r="BT73" s="3">
        <v>1986774</v>
      </c>
      <c r="BU73" s="3"/>
      <c r="BV73" s="3">
        <v>0</v>
      </c>
      <c r="BW73" s="3"/>
      <c r="BX73" s="17">
        <f t="shared" si="2"/>
        <v>1941362</v>
      </c>
      <c r="BY73" s="17"/>
      <c r="BZ73" s="17">
        <f>-BX73+GovBS!AC73</f>
        <v>0</v>
      </c>
    </row>
    <row r="74" spans="1:80" s="16" customFormat="1" ht="12">
      <c r="A74" s="3" t="s">
        <v>364</v>
      </c>
      <c r="B74" s="3"/>
      <c r="C74" s="3" t="s">
        <v>155</v>
      </c>
      <c r="D74" s="3"/>
      <c r="E74" s="3">
        <v>46086</v>
      </c>
      <c r="F74" s="3"/>
      <c r="G74" s="3">
        <v>504423</v>
      </c>
      <c r="H74" s="3"/>
      <c r="I74" s="3">
        <v>2108278</v>
      </c>
      <c r="J74" s="3"/>
      <c r="K74" s="3">
        <v>0</v>
      </c>
      <c r="L74" s="3"/>
      <c r="M74" s="3">
        <v>0</v>
      </c>
      <c r="N74" s="3"/>
      <c r="O74" s="3">
        <v>3058165</v>
      </c>
      <c r="P74" s="3"/>
      <c r="Q74" s="3">
        <v>2132678</v>
      </c>
      <c r="R74" s="3"/>
      <c r="S74" s="3">
        <v>19358</v>
      </c>
      <c r="T74" s="3"/>
      <c r="U74" s="3">
        <v>1720782</v>
      </c>
      <c r="V74" s="3"/>
      <c r="W74" s="3">
        <v>564080</v>
      </c>
      <c r="X74" s="3"/>
      <c r="Y74" s="3">
        <v>0</v>
      </c>
      <c r="Z74" s="3"/>
      <c r="AA74" s="3">
        <v>997810</v>
      </c>
      <c r="AB74" s="3"/>
      <c r="AC74" s="3">
        <v>199740</v>
      </c>
      <c r="AD74" s="3"/>
      <c r="AE74" s="16" t="s">
        <v>364</v>
      </c>
      <c r="AG74" s="16" t="s">
        <v>155</v>
      </c>
      <c r="AH74" s="3"/>
      <c r="AI74" s="3">
        <v>1818354</v>
      </c>
      <c r="AJ74" s="3"/>
      <c r="AK74" s="3">
        <v>0</v>
      </c>
      <c r="AL74" s="3"/>
      <c r="AM74" s="3">
        <v>0</v>
      </c>
      <c r="AN74" s="3"/>
      <c r="AO74" s="3">
        <v>0</v>
      </c>
      <c r="AP74" s="3"/>
      <c r="AQ74" s="3">
        <v>0</v>
      </c>
      <c r="AR74" s="3"/>
      <c r="AS74" s="3">
        <v>2726616</v>
      </c>
      <c r="AT74" s="3"/>
      <c r="AU74" s="3">
        <v>0</v>
      </c>
      <c r="AV74" s="3"/>
      <c r="AW74" s="3">
        <v>0</v>
      </c>
      <c r="AX74" s="3"/>
      <c r="AY74" s="3">
        <v>73801</v>
      </c>
      <c r="AZ74" s="3"/>
      <c r="BA74" s="3">
        <v>0</v>
      </c>
      <c r="BB74" s="3"/>
      <c r="BC74" s="17">
        <f t="shared" ref="BC74:BC130" si="4">SUM(G74:BA74)</f>
        <v>15924085</v>
      </c>
      <c r="BD74" s="16" t="s">
        <v>364</v>
      </c>
      <c r="BF74" s="16" t="s">
        <v>155</v>
      </c>
      <c r="BG74" s="3"/>
      <c r="BH74" s="3">
        <v>0</v>
      </c>
      <c r="BI74" s="3"/>
      <c r="BJ74" s="3"/>
      <c r="BK74" s="3"/>
      <c r="BL74" s="3"/>
      <c r="BM74" s="3"/>
      <c r="BN74" s="3">
        <v>0</v>
      </c>
      <c r="BO74" s="3"/>
      <c r="BP74" s="17">
        <f t="shared" si="3"/>
        <v>15924085</v>
      </c>
      <c r="BQ74" s="3"/>
      <c r="BR74" s="17">
        <f>GovRev!AX74-BP74</f>
        <v>674167</v>
      </c>
      <c r="BS74" s="3"/>
      <c r="BT74" s="3">
        <v>1057714</v>
      </c>
      <c r="BU74" s="3"/>
      <c r="BV74" s="3">
        <v>0</v>
      </c>
      <c r="BW74" s="3"/>
      <c r="BX74" s="17">
        <f t="shared" si="2"/>
        <v>1731881</v>
      </c>
      <c r="BY74" s="17"/>
      <c r="BZ74" s="17">
        <f>-BX74+GovBS!AC74</f>
        <v>0</v>
      </c>
    </row>
    <row r="75" spans="1:80" s="16" customFormat="1" ht="12">
      <c r="A75" s="3" t="s">
        <v>366</v>
      </c>
      <c r="B75" s="3"/>
      <c r="C75" s="3" t="s">
        <v>161</v>
      </c>
      <c r="D75" s="3"/>
      <c r="E75" s="3">
        <v>46227</v>
      </c>
      <c r="F75" s="3"/>
      <c r="G75" s="3">
        <v>522</v>
      </c>
      <c r="H75" s="3"/>
      <c r="I75" s="3">
        <v>1284541</v>
      </c>
      <c r="J75" s="3"/>
      <c r="K75" s="3">
        <v>29530</v>
      </c>
      <c r="L75" s="3"/>
      <c r="M75" s="3">
        <v>9135</v>
      </c>
      <c r="N75" s="3"/>
      <c r="O75" s="3">
        <v>1576005</v>
      </c>
      <c r="P75" s="3"/>
      <c r="Q75" s="3">
        <v>2408019</v>
      </c>
      <c r="R75" s="3"/>
      <c r="S75" s="3">
        <v>23020</v>
      </c>
      <c r="T75" s="3"/>
      <c r="U75" s="3">
        <v>758784</v>
      </c>
      <c r="V75" s="3"/>
      <c r="W75" s="3">
        <v>217412</v>
      </c>
      <c r="X75" s="3"/>
      <c r="Y75" s="3">
        <v>13974</v>
      </c>
      <c r="Z75" s="3"/>
      <c r="AA75" s="3">
        <v>51548</v>
      </c>
      <c r="AB75" s="3"/>
      <c r="AC75" s="3">
        <v>0</v>
      </c>
      <c r="AD75" s="3"/>
      <c r="AE75" s="16" t="s">
        <v>366</v>
      </c>
      <c r="AG75" s="16" t="s">
        <v>161</v>
      </c>
      <c r="AH75" s="3"/>
      <c r="AI75" s="3">
        <v>8506</v>
      </c>
      <c r="AJ75" s="3"/>
      <c r="AK75" s="3">
        <v>0</v>
      </c>
      <c r="AL75" s="3"/>
      <c r="AM75" s="3">
        <v>0</v>
      </c>
      <c r="AN75" s="3"/>
      <c r="AO75" s="3">
        <v>0</v>
      </c>
      <c r="AP75" s="3"/>
      <c r="AQ75" s="3">
        <v>0</v>
      </c>
      <c r="AR75" s="3"/>
      <c r="AS75" s="3">
        <v>0</v>
      </c>
      <c r="AT75" s="3"/>
      <c r="AU75" s="3">
        <v>0</v>
      </c>
      <c r="AV75" s="3"/>
      <c r="AW75" s="3">
        <v>72567</v>
      </c>
      <c r="AX75" s="3"/>
      <c r="AY75" s="3">
        <v>84</v>
      </c>
      <c r="AZ75" s="3"/>
      <c r="BA75" s="3">
        <v>0</v>
      </c>
      <c r="BB75" s="3"/>
      <c r="BC75" s="17">
        <f t="shared" si="4"/>
        <v>6453647</v>
      </c>
      <c r="BD75" s="16" t="s">
        <v>366</v>
      </c>
      <c r="BF75" s="16" t="s">
        <v>161</v>
      </c>
      <c r="BG75" s="3"/>
      <c r="BH75" s="3">
        <v>32862</v>
      </c>
      <c r="BI75" s="3"/>
      <c r="BJ75" s="3"/>
      <c r="BK75" s="3"/>
      <c r="BL75" s="3"/>
      <c r="BM75" s="3"/>
      <c r="BN75" s="3">
        <v>0</v>
      </c>
      <c r="BO75" s="3"/>
      <c r="BP75" s="17">
        <f t="shared" si="3"/>
        <v>6486509</v>
      </c>
      <c r="BQ75" s="3"/>
      <c r="BR75" s="17">
        <f>GovRev!AX75-BP75</f>
        <v>267691</v>
      </c>
      <c r="BS75" s="3"/>
      <c r="BT75" s="3">
        <v>1104515</v>
      </c>
      <c r="BU75" s="3"/>
      <c r="BV75" s="3">
        <v>0</v>
      </c>
      <c r="BW75" s="3"/>
      <c r="BX75" s="17">
        <f t="shared" si="2"/>
        <v>1372206</v>
      </c>
      <c r="BY75" s="17"/>
      <c r="BZ75" s="17">
        <f>-BX75+GovBS!AC75</f>
        <v>0</v>
      </c>
    </row>
    <row r="76" spans="1:80" s="16" customFormat="1" ht="12">
      <c r="A76" s="3" t="s">
        <v>162</v>
      </c>
      <c r="B76" s="3"/>
      <c r="C76" s="3" t="s">
        <v>163</v>
      </c>
      <c r="D76" s="3"/>
      <c r="E76" s="3">
        <v>46292</v>
      </c>
      <c r="F76" s="3"/>
      <c r="G76" s="3">
        <v>302795</v>
      </c>
      <c r="H76" s="3"/>
      <c r="I76" s="3">
        <v>6677962</v>
      </c>
      <c r="J76" s="3"/>
      <c r="K76" s="3">
        <v>0</v>
      </c>
      <c r="L76" s="3"/>
      <c r="M76" s="3">
        <v>77055</v>
      </c>
      <c r="N76" s="3"/>
      <c r="O76" s="3">
        <v>4786852</v>
      </c>
      <c r="P76" s="3"/>
      <c r="Q76" s="3">
        <v>6209968</v>
      </c>
      <c r="R76" s="3"/>
      <c r="S76" s="3">
        <v>205924</v>
      </c>
      <c r="T76" s="3"/>
      <c r="U76" s="3">
        <v>455963</v>
      </c>
      <c r="V76" s="3"/>
      <c r="W76" s="3">
        <v>272496</v>
      </c>
      <c r="X76" s="3"/>
      <c r="Y76" s="3">
        <v>0</v>
      </c>
      <c r="Z76" s="3"/>
      <c r="AA76" s="3">
        <v>0</v>
      </c>
      <c r="AB76" s="3"/>
      <c r="AC76" s="3">
        <v>0</v>
      </c>
      <c r="AD76" s="3"/>
      <c r="AE76" s="16" t="s">
        <v>162</v>
      </c>
      <c r="AG76" s="16" t="s">
        <v>163</v>
      </c>
      <c r="AH76" s="3"/>
      <c r="AI76" s="3">
        <v>23564</v>
      </c>
      <c r="AJ76" s="3"/>
      <c r="AK76" s="3">
        <v>0</v>
      </c>
      <c r="AL76" s="3"/>
      <c r="AM76" s="3">
        <v>0</v>
      </c>
      <c r="AN76" s="3"/>
      <c r="AO76" s="3">
        <v>54248</v>
      </c>
      <c r="AP76" s="3"/>
      <c r="AQ76" s="3">
        <v>0</v>
      </c>
      <c r="AR76" s="3"/>
      <c r="AS76" s="3">
        <v>0</v>
      </c>
      <c r="AT76" s="3"/>
      <c r="AU76" s="3">
        <v>0</v>
      </c>
      <c r="AV76" s="3"/>
      <c r="AW76" s="3">
        <v>0</v>
      </c>
      <c r="AX76" s="3"/>
      <c r="AY76" s="3">
        <v>0</v>
      </c>
      <c r="AZ76" s="3"/>
      <c r="BA76" s="3">
        <v>0</v>
      </c>
      <c r="BB76" s="3"/>
      <c r="BC76" s="17">
        <f t="shared" si="4"/>
        <v>19066827</v>
      </c>
      <c r="BD76" s="16" t="s">
        <v>162</v>
      </c>
      <c r="BF76" s="16" t="s">
        <v>163</v>
      </c>
      <c r="BG76" s="3"/>
      <c r="BH76" s="3">
        <v>15000</v>
      </c>
      <c r="BI76" s="3"/>
      <c r="BJ76" s="3"/>
      <c r="BK76" s="3"/>
      <c r="BL76" s="3"/>
      <c r="BM76" s="3"/>
      <c r="BN76" s="3">
        <v>0</v>
      </c>
      <c r="BO76" s="3"/>
      <c r="BP76" s="17">
        <f t="shared" si="3"/>
        <v>19081827</v>
      </c>
      <c r="BQ76" s="3"/>
      <c r="BR76" s="17">
        <f>GovRev!AX76-BP76</f>
        <v>256774</v>
      </c>
      <c r="BS76" s="3"/>
      <c r="BT76" s="3">
        <v>3959847</v>
      </c>
      <c r="BU76" s="3"/>
      <c r="BV76" s="3">
        <v>0</v>
      </c>
      <c r="BW76" s="3"/>
      <c r="BX76" s="17">
        <f t="shared" si="2"/>
        <v>4216621</v>
      </c>
      <c r="BY76" s="17"/>
      <c r="BZ76" s="17">
        <f>-BX76+GovBS!AC76</f>
        <v>0</v>
      </c>
    </row>
    <row r="77" spans="1:80" s="16" customFormat="1" ht="12" hidden="1">
      <c r="A77" s="3" t="s">
        <v>343</v>
      </c>
      <c r="B77" s="3"/>
      <c r="C77" s="3" t="s">
        <v>164</v>
      </c>
      <c r="D77" s="3"/>
      <c r="E77" s="3">
        <v>46375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16" t="s">
        <v>343</v>
      </c>
      <c r="AG77" s="16" t="s">
        <v>164</v>
      </c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17">
        <f t="shared" si="4"/>
        <v>0</v>
      </c>
      <c r="BD77" s="16" t="s">
        <v>343</v>
      </c>
      <c r="BF77" s="16" t="s">
        <v>164</v>
      </c>
      <c r="BG77" s="3"/>
      <c r="BH77" s="3"/>
      <c r="BI77" s="3"/>
      <c r="BJ77" s="3"/>
      <c r="BK77" s="3"/>
      <c r="BL77" s="3"/>
      <c r="BM77" s="3"/>
      <c r="BN77" s="3"/>
      <c r="BO77" s="3"/>
      <c r="BP77" s="17">
        <f t="shared" si="3"/>
        <v>0</v>
      </c>
      <c r="BQ77" s="3"/>
      <c r="BR77" s="17">
        <f>GovRev!AX77-BP77</f>
        <v>0</v>
      </c>
      <c r="BS77" s="3"/>
      <c r="BT77" s="3"/>
      <c r="BU77" s="3"/>
      <c r="BV77" s="3"/>
      <c r="BW77" s="3"/>
      <c r="BX77" s="17">
        <f t="shared" si="2"/>
        <v>0</v>
      </c>
      <c r="BY77" s="17"/>
      <c r="BZ77" s="17">
        <f>-BX77+GovBS!AC77</f>
        <v>0</v>
      </c>
    </row>
    <row r="78" spans="1:80" s="16" customFormat="1" ht="12">
      <c r="A78" s="3" t="s">
        <v>367</v>
      </c>
      <c r="B78" s="3"/>
      <c r="C78" s="3" t="s">
        <v>165</v>
      </c>
      <c r="D78" s="3"/>
      <c r="E78" s="3">
        <v>46417</v>
      </c>
      <c r="F78" s="3"/>
      <c r="G78" s="3">
        <v>928241</v>
      </c>
      <c r="H78" s="3"/>
      <c r="I78" s="3">
        <v>2040236</v>
      </c>
      <c r="J78" s="3"/>
      <c r="K78" s="3">
        <v>0</v>
      </c>
      <c r="L78" s="3"/>
      <c r="M78" s="3">
        <v>0</v>
      </c>
      <c r="N78" s="3"/>
      <c r="O78" s="3">
        <v>2339184</v>
      </c>
      <c r="P78" s="3"/>
      <c r="Q78" s="3">
        <v>3131583</v>
      </c>
      <c r="R78" s="3"/>
      <c r="S78" s="3">
        <v>29237</v>
      </c>
      <c r="T78" s="3"/>
      <c r="U78" s="3">
        <v>448771</v>
      </c>
      <c r="V78" s="3"/>
      <c r="W78" s="3">
        <v>197437</v>
      </c>
      <c r="X78" s="3"/>
      <c r="Y78" s="3">
        <v>0</v>
      </c>
      <c r="Z78" s="3"/>
      <c r="AA78" s="3">
        <v>138204</v>
      </c>
      <c r="AB78" s="3"/>
      <c r="AC78" s="3">
        <v>549957</v>
      </c>
      <c r="AD78" s="3"/>
      <c r="AE78" s="16" t="s">
        <v>367</v>
      </c>
      <c r="AG78" s="16" t="s">
        <v>165</v>
      </c>
      <c r="AH78" s="3"/>
      <c r="AI78" s="3">
        <v>333963</v>
      </c>
      <c r="AJ78" s="3"/>
      <c r="AK78" s="3">
        <v>0</v>
      </c>
      <c r="AL78" s="3"/>
      <c r="AM78" s="3">
        <v>0</v>
      </c>
      <c r="AN78" s="3"/>
      <c r="AO78" s="3">
        <v>65665</v>
      </c>
      <c r="AP78" s="3"/>
      <c r="AQ78" s="3">
        <v>0</v>
      </c>
      <c r="AR78" s="3"/>
      <c r="AS78" s="3">
        <v>77948</v>
      </c>
      <c r="AT78" s="3"/>
      <c r="AU78" s="3">
        <v>0</v>
      </c>
      <c r="AV78" s="3"/>
      <c r="AW78" s="3">
        <v>33119</v>
      </c>
      <c r="AX78" s="3"/>
      <c r="AY78" s="3">
        <v>23858</v>
      </c>
      <c r="AZ78" s="3"/>
      <c r="BA78" s="3">
        <v>0</v>
      </c>
      <c r="BB78" s="3"/>
      <c r="BC78" s="17">
        <f t="shared" si="4"/>
        <v>10337403</v>
      </c>
      <c r="BD78" s="16" t="s">
        <v>367</v>
      </c>
      <c r="BF78" s="16" t="s">
        <v>165</v>
      </c>
      <c r="BG78" s="3"/>
      <c r="BH78" s="3">
        <v>13860</v>
      </c>
      <c r="BI78" s="3"/>
      <c r="BJ78" s="3"/>
      <c r="BK78" s="3"/>
      <c r="BL78" s="3"/>
      <c r="BM78" s="3"/>
      <c r="BN78" s="3">
        <v>0</v>
      </c>
      <c r="BO78" s="3"/>
      <c r="BP78" s="17">
        <f t="shared" si="3"/>
        <v>10351263</v>
      </c>
      <c r="BQ78" s="3"/>
      <c r="BR78" s="17">
        <f>GovRev!AX78-BP78</f>
        <v>-469588</v>
      </c>
      <c r="BS78" s="3"/>
      <c r="BT78" s="3">
        <v>405876</v>
      </c>
      <c r="BU78" s="3"/>
      <c r="BV78" s="3">
        <v>0</v>
      </c>
      <c r="BW78" s="3"/>
      <c r="BX78" s="17">
        <f t="shared" si="2"/>
        <v>-63712</v>
      </c>
      <c r="BY78" s="17"/>
      <c r="BZ78" s="17">
        <f>-BX78+GovBS!AC78</f>
        <v>0</v>
      </c>
    </row>
    <row r="79" spans="1:80" s="16" customFormat="1" ht="12">
      <c r="A79" s="3" t="s">
        <v>166</v>
      </c>
      <c r="B79" s="3"/>
      <c r="C79" s="3" t="s">
        <v>167</v>
      </c>
      <c r="D79" s="3"/>
      <c r="E79" s="3">
        <v>46532</v>
      </c>
      <c r="F79" s="3"/>
      <c r="G79" s="3">
        <v>492383</v>
      </c>
      <c r="H79" s="3"/>
      <c r="I79" s="3">
        <v>27157913</v>
      </c>
      <c r="J79" s="3"/>
      <c r="K79" s="3">
        <v>429778</v>
      </c>
      <c r="L79" s="3"/>
      <c r="M79" s="3">
        <v>1722</v>
      </c>
      <c r="N79" s="3"/>
      <c r="O79" s="3">
        <v>6475638</v>
      </c>
      <c r="P79" s="3"/>
      <c r="Q79" s="3">
        <v>14179292</v>
      </c>
      <c r="R79" s="3"/>
      <c r="S79" s="3">
        <v>78613</v>
      </c>
      <c r="T79" s="3"/>
      <c r="U79" s="3">
        <v>10977027</v>
      </c>
      <c r="V79" s="3"/>
      <c r="W79" s="3">
        <v>1508804</v>
      </c>
      <c r="X79" s="3"/>
      <c r="Y79" s="3">
        <v>13526</v>
      </c>
      <c r="Z79" s="3"/>
      <c r="AA79" s="3">
        <v>978787</v>
      </c>
      <c r="AB79" s="3"/>
      <c r="AC79" s="3">
        <v>3879</v>
      </c>
      <c r="AD79" s="3"/>
      <c r="AE79" s="16" t="s">
        <v>166</v>
      </c>
      <c r="AG79" s="16" t="s">
        <v>167</v>
      </c>
      <c r="AH79" s="3"/>
      <c r="AI79" s="3">
        <v>201337</v>
      </c>
      <c r="AJ79" s="3"/>
      <c r="AK79" s="3">
        <v>0</v>
      </c>
      <c r="AL79" s="3"/>
      <c r="AM79" s="3">
        <v>0</v>
      </c>
      <c r="AN79" s="3"/>
      <c r="AO79" s="3">
        <v>6775066</v>
      </c>
      <c r="AP79" s="3"/>
      <c r="AQ79" s="3">
        <v>54467</v>
      </c>
      <c r="AR79" s="3"/>
      <c r="AS79" s="3">
        <v>0</v>
      </c>
      <c r="AT79" s="3"/>
      <c r="AU79" s="3">
        <v>0</v>
      </c>
      <c r="AV79" s="3"/>
      <c r="AW79" s="3">
        <v>71000</v>
      </c>
      <c r="AX79" s="3"/>
      <c r="AY79" s="3">
        <v>81478</v>
      </c>
      <c r="AZ79" s="3"/>
      <c r="BA79" s="3">
        <v>0</v>
      </c>
      <c r="BB79" s="3"/>
      <c r="BC79" s="17">
        <f t="shared" si="4"/>
        <v>69480710</v>
      </c>
      <c r="BD79" s="16" t="s">
        <v>166</v>
      </c>
      <c r="BF79" s="16" t="s">
        <v>167</v>
      </c>
      <c r="BG79" s="3"/>
      <c r="BH79" s="3">
        <v>0</v>
      </c>
      <c r="BI79" s="3"/>
      <c r="BJ79" s="3"/>
      <c r="BK79" s="3"/>
      <c r="BL79" s="3"/>
      <c r="BM79" s="3"/>
      <c r="BN79" s="3">
        <v>0</v>
      </c>
      <c r="BO79" s="3"/>
      <c r="BP79" s="17">
        <f t="shared" si="3"/>
        <v>69480710</v>
      </c>
      <c r="BQ79" s="3"/>
      <c r="BR79" s="17">
        <f>GovRev!AX79-BP79</f>
        <v>1529995</v>
      </c>
      <c r="BS79" s="3"/>
      <c r="BT79" s="3">
        <v>20473511</v>
      </c>
      <c r="BU79" s="3"/>
      <c r="BV79" s="3">
        <v>0</v>
      </c>
      <c r="BW79" s="3"/>
      <c r="BX79" s="17">
        <f t="shared" si="2"/>
        <v>22003506</v>
      </c>
      <c r="BY79" s="17"/>
      <c r="BZ79" s="17">
        <f>-BX79+GovBS!AC79</f>
        <v>0</v>
      </c>
    </row>
    <row r="80" spans="1:80" s="16" customFormat="1" ht="12" hidden="1">
      <c r="A80" s="3" t="s">
        <v>339</v>
      </c>
      <c r="B80" s="3"/>
      <c r="C80" s="3" t="s">
        <v>169</v>
      </c>
      <c r="D80" s="3"/>
      <c r="E80" s="3">
        <v>46615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16" t="s">
        <v>339</v>
      </c>
      <c r="AG80" s="16" t="s">
        <v>169</v>
      </c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17">
        <f t="shared" si="4"/>
        <v>0</v>
      </c>
      <c r="BD80" s="16" t="s">
        <v>168</v>
      </c>
      <c r="BF80" s="16" t="s">
        <v>169</v>
      </c>
      <c r="BG80" s="3"/>
      <c r="BH80" s="3">
        <v>0</v>
      </c>
      <c r="BI80" s="3"/>
      <c r="BJ80" s="3"/>
      <c r="BK80" s="3"/>
      <c r="BL80" s="3"/>
      <c r="BM80" s="3"/>
      <c r="BN80" s="3">
        <v>0</v>
      </c>
      <c r="BO80" s="3"/>
      <c r="BP80" s="17">
        <f t="shared" si="3"/>
        <v>0</v>
      </c>
      <c r="BQ80" s="3"/>
      <c r="BR80" s="17">
        <f>GovRev!AX80-BP80</f>
        <v>0</v>
      </c>
      <c r="BS80" s="3"/>
      <c r="BT80" s="3"/>
      <c r="BU80" s="3"/>
      <c r="BV80" s="3">
        <v>0</v>
      </c>
      <c r="BW80" s="3"/>
      <c r="BX80" s="17">
        <f t="shared" si="2"/>
        <v>0</v>
      </c>
      <c r="BY80" s="17"/>
      <c r="BZ80" s="17">
        <f>-BX80+GovBS!AC80</f>
        <v>0</v>
      </c>
    </row>
    <row r="81" spans="1:78" s="16" customFormat="1" ht="12" hidden="1">
      <c r="A81" s="3" t="s">
        <v>363</v>
      </c>
      <c r="B81" s="3"/>
      <c r="C81" s="3" t="s">
        <v>171</v>
      </c>
      <c r="D81" s="3"/>
      <c r="E81" s="3">
        <v>46730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 t="s">
        <v>363</v>
      </c>
      <c r="AG81" s="16" t="s">
        <v>171</v>
      </c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17">
        <f t="shared" si="4"/>
        <v>0</v>
      </c>
      <c r="BD81" s="16" t="s">
        <v>170</v>
      </c>
      <c r="BF81" s="16" t="s">
        <v>171</v>
      </c>
      <c r="BG81" s="3"/>
      <c r="BH81" s="3"/>
      <c r="BI81" s="3"/>
      <c r="BJ81" s="3"/>
      <c r="BK81" s="3"/>
      <c r="BL81" s="3"/>
      <c r="BM81" s="3"/>
      <c r="BN81" s="3">
        <v>0</v>
      </c>
      <c r="BO81" s="3"/>
      <c r="BP81" s="17">
        <f t="shared" si="3"/>
        <v>0</v>
      </c>
      <c r="BQ81" s="3"/>
      <c r="BR81" s="17">
        <f>GovRev!AX81-BP81</f>
        <v>0</v>
      </c>
      <c r="BS81" s="3"/>
      <c r="BT81" s="3"/>
      <c r="BU81" s="3"/>
      <c r="BV81" s="3"/>
      <c r="BW81" s="3"/>
      <c r="BX81" s="17">
        <f t="shared" si="2"/>
        <v>0</v>
      </c>
      <c r="BY81" s="17"/>
      <c r="BZ81" s="17">
        <f>-BX81+GovBS!AC81</f>
        <v>0</v>
      </c>
    </row>
    <row r="82" spans="1:78" s="16" customFormat="1" ht="12">
      <c r="A82" s="3" t="s">
        <v>384</v>
      </c>
      <c r="B82" s="3"/>
      <c r="C82" s="3" t="s">
        <v>227</v>
      </c>
      <c r="D82" s="3"/>
      <c r="E82" s="3">
        <v>50260</v>
      </c>
      <c r="F82" s="3"/>
      <c r="G82" s="3">
        <v>685326</v>
      </c>
      <c r="H82" s="3"/>
      <c r="I82" s="3">
        <v>1344999</v>
      </c>
      <c r="J82" s="3"/>
      <c r="K82" s="3">
        <v>0</v>
      </c>
      <c r="L82" s="3"/>
      <c r="M82" s="3">
        <v>38158</v>
      </c>
      <c r="N82" s="3"/>
      <c r="O82" s="3">
        <v>2393608</v>
      </c>
      <c r="P82" s="3"/>
      <c r="Q82" s="3">
        <v>2902528</v>
      </c>
      <c r="R82" s="3"/>
      <c r="S82" s="3">
        <v>24472</v>
      </c>
      <c r="T82" s="3"/>
      <c r="U82" s="3">
        <v>425941</v>
      </c>
      <c r="V82" s="3"/>
      <c r="W82" s="3">
        <v>204228</v>
      </c>
      <c r="X82" s="3"/>
      <c r="Y82" s="3">
        <v>205849</v>
      </c>
      <c r="Z82" s="3"/>
      <c r="AA82" s="3">
        <v>196833</v>
      </c>
      <c r="AB82" s="3"/>
      <c r="AC82" s="3">
        <v>14156</v>
      </c>
      <c r="AD82" s="3"/>
      <c r="AE82" s="3" t="s">
        <v>384</v>
      </c>
      <c r="AF82" s="3"/>
      <c r="AG82" s="3" t="s">
        <v>227</v>
      </c>
      <c r="AH82" s="3"/>
      <c r="AI82" s="3">
        <v>200083</v>
      </c>
      <c r="AJ82" s="3"/>
      <c r="AK82" s="3">
        <v>0</v>
      </c>
      <c r="AL82" s="3"/>
      <c r="AM82" s="3">
        <v>0</v>
      </c>
      <c r="AN82" s="3"/>
      <c r="AO82" s="3">
        <v>0</v>
      </c>
      <c r="AP82" s="3"/>
      <c r="AQ82" s="3">
        <v>0</v>
      </c>
      <c r="AR82" s="3"/>
      <c r="AS82" s="3">
        <v>0</v>
      </c>
      <c r="AT82" s="3"/>
      <c r="AU82" s="3">
        <v>0</v>
      </c>
      <c r="AV82" s="3"/>
      <c r="AW82" s="3">
        <v>79578</v>
      </c>
      <c r="AX82" s="3"/>
      <c r="AY82" s="3">
        <v>31797</v>
      </c>
      <c r="AZ82" s="3"/>
      <c r="BA82" s="3">
        <v>0</v>
      </c>
      <c r="BB82" s="3"/>
      <c r="BC82" s="17">
        <f t="shared" ref="BC82" si="5">SUM(G82:BA82)</f>
        <v>8747556</v>
      </c>
      <c r="BD82" s="3" t="s">
        <v>384</v>
      </c>
      <c r="BE82" s="3"/>
      <c r="BF82" s="3" t="s">
        <v>227</v>
      </c>
      <c r="BG82" s="3"/>
      <c r="BH82" s="3">
        <v>0</v>
      </c>
      <c r="BI82" s="3"/>
      <c r="BJ82" s="3">
        <v>0</v>
      </c>
      <c r="BK82" s="3"/>
      <c r="BL82" s="3">
        <v>0</v>
      </c>
      <c r="BM82" s="3"/>
      <c r="BN82" s="3">
        <v>0</v>
      </c>
      <c r="BO82" s="3"/>
      <c r="BP82" s="17">
        <f t="shared" si="3"/>
        <v>8747556</v>
      </c>
      <c r="BQ82" s="3"/>
      <c r="BR82" s="17">
        <f>GovRev!AX82-BP82</f>
        <v>-209763</v>
      </c>
      <c r="BS82" s="3"/>
      <c r="BT82" s="3">
        <v>821278</v>
      </c>
      <c r="BU82" s="3"/>
      <c r="BV82" s="3">
        <v>0</v>
      </c>
      <c r="BW82" s="3"/>
      <c r="BX82" s="17">
        <f t="shared" ref="BX82" si="6">+BT82+BR82+BV82</f>
        <v>611515</v>
      </c>
      <c r="BY82" s="17"/>
      <c r="BZ82" s="17">
        <f>-BX82+GovBS!AC82</f>
        <v>0</v>
      </c>
    </row>
    <row r="83" spans="1:78" s="16" customFormat="1" ht="12" hidden="1">
      <c r="A83" s="3" t="s">
        <v>344</v>
      </c>
      <c r="B83" s="3"/>
      <c r="C83" s="3" t="s">
        <v>172</v>
      </c>
      <c r="D83" s="3"/>
      <c r="E83" s="3">
        <v>125690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16" t="s">
        <v>344</v>
      </c>
      <c r="AG83" s="16" t="s">
        <v>172</v>
      </c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17">
        <f t="shared" si="4"/>
        <v>0</v>
      </c>
      <c r="BD83" s="16" t="s">
        <v>344</v>
      </c>
      <c r="BF83" s="16" t="s">
        <v>172</v>
      </c>
      <c r="BG83" s="3"/>
      <c r="BH83" s="3"/>
      <c r="BI83" s="3"/>
      <c r="BJ83" s="3"/>
      <c r="BK83" s="3"/>
      <c r="BL83" s="3"/>
      <c r="BM83" s="3"/>
      <c r="BN83" s="3">
        <v>0</v>
      </c>
      <c r="BO83" s="3"/>
      <c r="BP83" s="17">
        <f t="shared" si="3"/>
        <v>0</v>
      </c>
      <c r="BQ83" s="3"/>
      <c r="BR83" s="17">
        <f>GovRev!AX83-BP83</f>
        <v>0</v>
      </c>
      <c r="BS83" s="3"/>
      <c r="BT83" s="3"/>
      <c r="BU83" s="3"/>
      <c r="BV83" s="3"/>
      <c r="BW83" s="3"/>
      <c r="BX83" s="17">
        <f t="shared" ref="BX83:BX130" si="7">+BT83+BR83+BV83</f>
        <v>0</v>
      </c>
      <c r="BY83" s="17"/>
      <c r="BZ83" s="17">
        <f>-BX83+GovBS!AC83</f>
        <v>0</v>
      </c>
    </row>
    <row r="84" spans="1:78" s="16" customFormat="1" ht="12">
      <c r="A84" s="3" t="s">
        <v>173</v>
      </c>
      <c r="B84" s="3"/>
      <c r="C84" s="3" t="s">
        <v>174</v>
      </c>
      <c r="D84" s="3"/>
      <c r="E84" s="3">
        <v>46839</v>
      </c>
      <c r="F84" s="3"/>
      <c r="G84" s="3">
        <v>306528</v>
      </c>
      <c r="H84" s="3"/>
      <c r="I84" s="3">
        <v>1570920</v>
      </c>
      <c r="J84" s="3"/>
      <c r="K84" s="3">
        <v>0</v>
      </c>
      <c r="L84" s="3"/>
      <c r="M84" s="3">
        <f>1733+50053+9508</f>
        <v>61294</v>
      </c>
      <c r="N84" s="3"/>
      <c r="O84" s="3">
        <v>2200515</v>
      </c>
      <c r="P84" s="3"/>
      <c r="Q84" s="3">
        <v>2605982</v>
      </c>
      <c r="R84" s="3"/>
      <c r="S84" s="3">
        <v>13555</v>
      </c>
      <c r="T84" s="3"/>
      <c r="U84" s="3">
        <v>1506535</v>
      </c>
      <c r="V84" s="3"/>
      <c r="W84" s="3">
        <v>151235</v>
      </c>
      <c r="X84" s="3"/>
      <c r="Y84" s="3">
        <v>0</v>
      </c>
      <c r="Z84" s="3"/>
      <c r="AA84" s="3">
        <v>47479</v>
      </c>
      <c r="AB84" s="3"/>
      <c r="AC84" s="3">
        <v>0</v>
      </c>
      <c r="AD84" s="3"/>
      <c r="AE84" s="16" t="s">
        <v>173</v>
      </c>
      <c r="AG84" s="16" t="s">
        <v>174</v>
      </c>
      <c r="AH84" s="3"/>
      <c r="AI84" s="3">
        <v>72708</v>
      </c>
      <c r="AJ84" s="3"/>
      <c r="AK84" s="3">
        <v>0</v>
      </c>
      <c r="AL84" s="3"/>
      <c r="AM84" s="3">
        <v>0</v>
      </c>
      <c r="AN84" s="3"/>
      <c r="AO84" s="3">
        <v>0</v>
      </c>
      <c r="AP84" s="3"/>
      <c r="AQ84" s="3">
        <v>0</v>
      </c>
      <c r="AR84" s="3"/>
      <c r="AS84" s="3">
        <v>0</v>
      </c>
      <c r="AT84" s="3"/>
      <c r="AU84" s="3">
        <v>0</v>
      </c>
      <c r="AV84" s="3"/>
      <c r="AW84" s="3">
        <v>5597</v>
      </c>
      <c r="AX84" s="3"/>
      <c r="AY84" s="3">
        <v>2621</v>
      </c>
      <c r="AZ84" s="3"/>
      <c r="BA84" s="3">
        <v>0</v>
      </c>
      <c r="BB84" s="3"/>
      <c r="BC84" s="17">
        <f t="shared" si="4"/>
        <v>8544969</v>
      </c>
      <c r="BD84" s="16" t="s">
        <v>173</v>
      </c>
      <c r="BF84" s="16" t="s">
        <v>174</v>
      </c>
      <c r="BG84" s="3"/>
      <c r="BH84" s="3">
        <v>0</v>
      </c>
      <c r="BI84" s="3"/>
      <c r="BJ84" s="3"/>
      <c r="BK84" s="3"/>
      <c r="BL84" s="3"/>
      <c r="BM84" s="3"/>
      <c r="BN84" s="3">
        <v>0</v>
      </c>
      <c r="BO84" s="3"/>
      <c r="BP84" s="17">
        <f t="shared" si="3"/>
        <v>8544969</v>
      </c>
      <c r="BQ84" s="3"/>
      <c r="BR84" s="17">
        <f>GovRev!AX84-BP84</f>
        <v>-25692</v>
      </c>
      <c r="BS84" s="3"/>
      <c r="BT84" s="3">
        <v>1088783</v>
      </c>
      <c r="BU84" s="3"/>
      <c r="BV84" s="3">
        <v>0</v>
      </c>
      <c r="BW84" s="3"/>
      <c r="BX84" s="17">
        <f t="shared" si="7"/>
        <v>1063091</v>
      </c>
      <c r="BY84" s="17"/>
      <c r="BZ84" s="17">
        <f>-BX84+GovBS!AC84</f>
        <v>0</v>
      </c>
    </row>
    <row r="85" spans="1:78" s="16" customFormat="1" ht="12">
      <c r="A85" s="3" t="s">
        <v>353</v>
      </c>
      <c r="B85" s="3"/>
      <c r="C85" s="3" t="s">
        <v>175</v>
      </c>
      <c r="D85" s="3"/>
      <c r="E85" s="3">
        <v>46938</v>
      </c>
      <c r="F85" s="3"/>
      <c r="G85" s="3">
        <v>760737</v>
      </c>
      <c r="H85" s="3"/>
      <c r="I85" s="3">
        <v>10027119</v>
      </c>
      <c r="J85" s="3"/>
      <c r="K85" s="3">
        <v>0</v>
      </c>
      <c r="L85" s="3"/>
      <c r="M85" s="3">
        <v>53252</v>
      </c>
      <c r="N85" s="3"/>
      <c r="O85" s="3">
        <v>9575591</v>
      </c>
      <c r="P85" s="3"/>
      <c r="Q85" s="3">
        <v>14206822</v>
      </c>
      <c r="R85" s="3"/>
      <c r="S85" s="3">
        <v>85030</v>
      </c>
      <c r="T85" s="3"/>
      <c r="U85" s="3">
        <v>13534701</v>
      </c>
      <c r="V85" s="3"/>
      <c r="W85" s="3">
        <v>3182268</v>
      </c>
      <c r="X85" s="3"/>
      <c r="Y85" s="3">
        <v>631276</v>
      </c>
      <c r="Z85" s="3"/>
      <c r="AA85" s="3">
        <v>994971</v>
      </c>
      <c r="AB85" s="3"/>
      <c r="AC85" s="3">
        <v>238232</v>
      </c>
      <c r="AD85" s="3"/>
      <c r="AE85" s="3" t="s">
        <v>353</v>
      </c>
      <c r="AG85" s="16" t="s">
        <v>175</v>
      </c>
      <c r="AH85" s="3"/>
      <c r="AI85" s="3">
        <v>2009087</v>
      </c>
      <c r="AJ85" s="3"/>
      <c r="AK85" s="3">
        <v>0</v>
      </c>
      <c r="AL85" s="3"/>
      <c r="AM85" s="3">
        <v>0</v>
      </c>
      <c r="AN85" s="3"/>
      <c r="AO85" s="3">
        <v>120709</v>
      </c>
      <c r="AP85" s="3"/>
      <c r="AQ85" s="3">
        <v>91490</v>
      </c>
      <c r="AR85" s="3"/>
      <c r="AS85" s="3">
        <v>898710</v>
      </c>
      <c r="AT85" s="3"/>
      <c r="AU85" s="3">
        <v>0</v>
      </c>
      <c r="AV85" s="3"/>
      <c r="AW85" s="3">
        <v>269711</v>
      </c>
      <c r="AX85" s="3"/>
      <c r="AY85" s="3">
        <v>149265</v>
      </c>
      <c r="AZ85" s="3"/>
      <c r="BA85" s="3">
        <v>0</v>
      </c>
      <c r="BB85" s="3"/>
      <c r="BC85" s="17">
        <f t="shared" si="4"/>
        <v>56828971</v>
      </c>
      <c r="BD85" s="3" t="s">
        <v>353</v>
      </c>
      <c r="BF85" s="16" t="s">
        <v>175</v>
      </c>
      <c r="BG85" s="3"/>
      <c r="BH85" s="3">
        <v>703546</v>
      </c>
      <c r="BI85" s="3"/>
      <c r="BJ85" s="3"/>
      <c r="BK85" s="3"/>
      <c r="BL85" s="3"/>
      <c r="BM85" s="3"/>
      <c r="BN85" s="3">
        <v>0</v>
      </c>
      <c r="BO85" s="3"/>
      <c r="BP85" s="17">
        <f t="shared" si="3"/>
        <v>57532517</v>
      </c>
      <c r="BQ85" s="3"/>
      <c r="BR85" s="17">
        <f>GovRev!AX85-BP85</f>
        <v>-1741919</v>
      </c>
      <c r="BS85" s="3"/>
      <c r="BT85" s="3">
        <v>15133266</v>
      </c>
      <c r="BU85" s="3"/>
      <c r="BV85" s="3">
        <v>0</v>
      </c>
      <c r="BW85" s="3"/>
      <c r="BX85" s="17">
        <f t="shared" si="7"/>
        <v>13391347</v>
      </c>
      <c r="BY85" s="17"/>
      <c r="BZ85" s="17">
        <f>-BX85+GovBS!AC85</f>
        <v>0</v>
      </c>
    </row>
    <row r="86" spans="1:78" s="16" customFormat="1" ht="12">
      <c r="A86" s="3" t="s">
        <v>177</v>
      </c>
      <c r="B86" s="3"/>
      <c r="C86" s="3" t="s">
        <v>178</v>
      </c>
      <c r="D86" s="3"/>
      <c r="E86" s="3">
        <v>125682</v>
      </c>
      <c r="F86" s="3"/>
      <c r="G86" s="3">
        <v>972453</v>
      </c>
      <c r="H86" s="3"/>
      <c r="I86" s="3">
        <v>135</v>
      </c>
      <c r="J86" s="3"/>
      <c r="K86" s="3">
        <v>0</v>
      </c>
      <c r="L86" s="3"/>
      <c r="M86" s="3">
        <v>0</v>
      </c>
      <c r="N86" s="3"/>
      <c r="O86" s="3">
        <v>287956</v>
      </c>
      <c r="P86" s="3"/>
      <c r="Q86" s="3">
        <v>1083634</v>
      </c>
      <c r="R86" s="3"/>
      <c r="S86" s="3">
        <v>28906</v>
      </c>
      <c r="T86" s="3"/>
      <c r="U86" s="3">
        <v>893944</v>
      </c>
      <c r="V86" s="3"/>
      <c r="W86" s="3">
        <v>115701</v>
      </c>
      <c r="X86" s="3"/>
      <c r="Y86" s="3">
        <v>0</v>
      </c>
      <c r="Z86" s="3"/>
      <c r="AA86" s="3">
        <v>40707</v>
      </c>
      <c r="AB86" s="3"/>
      <c r="AC86" s="3">
        <v>356527</v>
      </c>
      <c r="AD86" s="3"/>
      <c r="AE86" s="16" t="s">
        <v>177</v>
      </c>
      <c r="AG86" s="16" t="s">
        <v>178</v>
      </c>
      <c r="AH86" s="3"/>
      <c r="AI86" s="3">
        <v>51295</v>
      </c>
      <c r="AJ86" s="3"/>
      <c r="AK86" s="3">
        <v>0</v>
      </c>
      <c r="AL86" s="3"/>
      <c r="AM86" s="3">
        <v>0</v>
      </c>
      <c r="AN86" s="3"/>
      <c r="AO86" s="3">
        <v>28140</v>
      </c>
      <c r="AP86" s="3"/>
      <c r="AQ86" s="3">
        <v>0</v>
      </c>
      <c r="AR86" s="3"/>
      <c r="AS86" s="3">
        <v>0</v>
      </c>
      <c r="AT86" s="3"/>
      <c r="AU86" s="3">
        <v>0</v>
      </c>
      <c r="AV86" s="3"/>
      <c r="AW86" s="3">
        <v>0</v>
      </c>
      <c r="AX86" s="3"/>
      <c r="AY86" s="3">
        <v>0</v>
      </c>
      <c r="AZ86" s="3"/>
      <c r="BA86" s="3">
        <v>0</v>
      </c>
      <c r="BB86" s="3"/>
      <c r="BC86" s="17">
        <f t="shared" si="4"/>
        <v>3859398</v>
      </c>
      <c r="BD86" s="16" t="s">
        <v>177</v>
      </c>
      <c r="BF86" s="16" t="s">
        <v>178</v>
      </c>
      <c r="BG86" s="3"/>
      <c r="BH86" s="3">
        <v>890</v>
      </c>
      <c r="BI86" s="3"/>
      <c r="BJ86" s="3"/>
      <c r="BK86" s="3"/>
      <c r="BL86" s="3"/>
      <c r="BM86" s="3"/>
      <c r="BN86" s="3">
        <v>0</v>
      </c>
      <c r="BO86" s="3"/>
      <c r="BP86" s="17">
        <f t="shared" si="3"/>
        <v>3860288</v>
      </c>
      <c r="BQ86" s="3"/>
      <c r="BR86" s="17">
        <f>GovRev!AX86-BP86</f>
        <v>369275</v>
      </c>
      <c r="BS86" s="3"/>
      <c r="BT86" s="3">
        <v>935416</v>
      </c>
      <c r="BU86" s="3"/>
      <c r="BV86" s="3">
        <v>0</v>
      </c>
      <c r="BW86" s="3"/>
      <c r="BX86" s="17">
        <f t="shared" si="7"/>
        <v>1304691</v>
      </c>
      <c r="BY86" s="17"/>
      <c r="BZ86" s="17">
        <f>-BX86+GovBS!AC86</f>
        <v>0</v>
      </c>
    </row>
    <row r="87" spans="1:78" s="16" customFormat="1" ht="12">
      <c r="A87" s="66" t="s">
        <v>376</v>
      </c>
      <c r="B87" s="3"/>
      <c r="C87" s="3" t="s">
        <v>179</v>
      </c>
      <c r="D87" s="3"/>
      <c r="E87" s="3">
        <v>47159</v>
      </c>
      <c r="F87" s="3"/>
      <c r="G87" s="3">
        <v>153842</v>
      </c>
      <c r="H87" s="3"/>
      <c r="I87" s="3">
        <v>3170028</v>
      </c>
      <c r="J87" s="3"/>
      <c r="K87" s="3">
        <v>210125</v>
      </c>
      <c r="L87" s="3"/>
      <c r="M87" s="3">
        <v>217</v>
      </c>
      <c r="N87" s="3"/>
      <c r="O87" s="3">
        <v>3487208</v>
      </c>
      <c r="P87" s="3"/>
      <c r="Q87" s="3">
        <v>2062297</v>
      </c>
      <c r="R87" s="3"/>
      <c r="S87" s="3">
        <v>27704</v>
      </c>
      <c r="T87" s="3"/>
      <c r="U87" s="3">
        <v>1279871</v>
      </c>
      <c r="V87" s="3"/>
      <c r="W87" s="3">
        <v>232421</v>
      </c>
      <c r="X87" s="3"/>
      <c r="Y87" s="3">
        <v>21260</v>
      </c>
      <c r="Z87" s="3"/>
      <c r="AA87" s="3">
        <v>63010</v>
      </c>
      <c r="AB87" s="3"/>
      <c r="AC87" s="3">
        <v>21673</v>
      </c>
      <c r="AD87" s="3"/>
      <c r="AE87" s="35" t="s">
        <v>376</v>
      </c>
      <c r="AG87" s="16" t="s">
        <v>179</v>
      </c>
      <c r="AH87" s="3"/>
      <c r="AI87" s="3">
        <v>101915</v>
      </c>
      <c r="AJ87" s="3"/>
      <c r="AK87" s="3">
        <v>0</v>
      </c>
      <c r="AL87" s="3"/>
      <c r="AM87" s="3">
        <v>0</v>
      </c>
      <c r="AN87" s="3"/>
      <c r="AO87" s="3">
        <v>0</v>
      </c>
      <c r="AP87" s="3"/>
      <c r="AQ87" s="3">
        <v>0</v>
      </c>
      <c r="AR87" s="3"/>
      <c r="AS87" s="3">
        <v>0</v>
      </c>
      <c r="AT87" s="3"/>
      <c r="AU87" s="3">
        <v>0</v>
      </c>
      <c r="AV87" s="3"/>
      <c r="AW87" s="3">
        <v>0</v>
      </c>
      <c r="AX87" s="3"/>
      <c r="AY87" s="3">
        <v>0</v>
      </c>
      <c r="AZ87" s="3"/>
      <c r="BA87" s="3">
        <v>0</v>
      </c>
      <c r="BB87" s="3"/>
      <c r="BC87" s="17">
        <f t="shared" si="4"/>
        <v>10831571</v>
      </c>
      <c r="BD87" s="35" t="s">
        <v>376</v>
      </c>
      <c r="BF87" s="16" t="s">
        <v>179</v>
      </c>
      <c r="BG87" s="3"/>
      <c r="BH87" s="3">
        <v>67404</v>
      </c>
      <c r="BI87" s="3"/>
      <c r="BJ87" s="3"/>
      <c r="BK87" s="3"/>
      <c r="BL87" s="3"/>
      <c r="BM87" s="3"/>
      <c r="BN87" s="3">
        <v>0</v>
      </c>
      <c r="BO87" s="3"/>
      <c r="BP87" s="17">
        <f t="shared" si="3"/>
        <v>10898975</v>
      </c>
      <c r="BQ87" s="3"/>
      <c r="BR87" s="17">
        <f>GovRev!AX87-BP87</f>
        <v>99813</v>
      </c>
      <c r="BS87" s="3"/>
      <c r="BT87" s="3">
        <v>912972</v>
      </c>
      <c r="BU87" s="3"/>
      <c r="BV87" s="3">
        <v>0</v>
      </c>
      <c r="BW87" s="3"/>
      <c r="BX87" s="17">
        <f t="shared" si="7"/>
        <v>1012785</v>
      </c>
      <c r="BY87" s="17"/>
      <c r="BZ87" s="17">
        <f>-BX87+GovBS!AC87</f>
        <v>0</v>
      </c>
    </row>
    <row r="88" spans="1:78" s="16" customFormat="1" ht="12">
      <c r="A88" s="3" t="s">
        <v>377</v>
      </c>
      <c r="B88" s="3"/>
      <c r="C88" s="3" t="s">
        <v>180</v>
      </c>
      <c r="D88" s="3"/>
      <c r="E88" s="3">
        <v>47233</v>
      </c>
      <c r="F88" s="3"/>
      <c r="G88" s="3">
        <v>696953</v>
      </c>
      <c r="H88" s="3"/>
      <c r="I88" s="3">
        <v>3220048</v>
      </c>
      <c r="J88" s="3"/>
      <c r="K88" s="3">
        <v>0</v>
      </c>
      <c r="L88" s="3"/>
      <c r="M88" s="3">
        <v>0</v>
      </c>
      <c r="N88" s="3"/>
      <c r="O88" s="3">
        <v>6466908</v>
      </c>
      <c r="P88" s="3"/>
      <c r="Q88" s="3">
        <v>2132501</v>
      </c>
      <c r="R88" s="3"/>
      <c r="S88" s="3">
        <v>26024</v>
      </c>
      <c r="T88" s="3"/>
      <c r="U88" s="3">
        <v>297771</v>
      </c>
      <c r="V88" s="3"/>
      <c r="W88" s="3">
        <v>260601</v>
      </c>
      <c r="X88" s="3"/>
      <c r="Y88" s="3">
        <v>46886</v>
      </c>
      <c r="Z88" s="3"/>
      <c r="AA88" s="3">
        <v>206584</v>
      </c>
      <c r="AB88" s="3"/>
      <c r="AC88" s="3">
        <v>0</v>
      </c>
      <c r="AD88" s="3"/>
      <c r="AE88" s="16" t="s">
        <v>377</v>
      </c>
      <c r="AG88" s="16" t="s">
        <v>180</v>
      </c>
      <c r="AH88" s="3"/>
      <c r="AI88" s="3">
        <v>26837</v>
      </c>
      <c r="AJ88" s="3"/>
      <c r="AK88" s="3">
        <v>0</v>
      </c>
      <c r="AL88" s="3"/>
      <c r="AM88" s="3">
        <v>0</v>
      </c>
      <c r="AN88" s="3"/>
      <c r="AO88" s="3">
        <v>7350</v>
      </c>
      <c r="AP88" s="3"/>
      <c r="AQ88" s="3">
        <v>0</v>
      </c>
      <c r="AR88" s="3"/>
      <c r="AS88" s="3">
        <v>43673</v>
      </c>
      <c r="AT88" s="3"/>
      <c r="AU88" s="3">
        <v>62605</v>
      </c>
      <c r="AV88" s="3"/>
      <c r="AW88" s="3">
        <v>55866</v>
      </c>
      <c r="AX88" s="3"/>
      <c r="AY88" s="3">
        <v>7861</v>
      </c>
      <c r="AZ88" s="3"/>
      <c r="BA88" s="3">
        <v>0</v>
      </c>
      <c r="BB88" s="3"/>
      <c r="BC88" s="17">
        <f t="shared" si="4"/>
        <v>13558468</v>
      </c>
      <c r="BD88" s="16" t="s">
        <v>377</v>
      </c>
      <c r="BF88" s="16" t="s">
        <v>180</v>
      </c>
      <c r="BG88" s="3"/>
      <c r="BH88" s="3">
        <v>70423</v>
      </c>
      <c r="BI88" s="3"/>
      <c r="BJ88" s="3"/>
      <c r="BK88" s="3"/>
      <c r="BL88" s="3"/>
      <c r="BM88" s="3"/>
      <c r="BN88" s="3">
        <v>0</v>
      </c>
      <c r="BO88" s="3"/>
      <c r="BP88" s="17">
        <f t="shared" si="3"/>
        <v>13628891</v>
      </c>
      <c r="BQ88" s="3"/>
      <c r="BR88" s="17">
        <f>GovRev!AX88-BP88</f>
        <v>89411</v>
      </c>
      <c r="BS88" s="3"/>
      <c r="BT88" s="3">
        <v>1713370</v>
      </c>
      <c r="BU88" s="3"/>
      <c r="BV88" s="3">
        <v>0</v>
      </c>
      <c r="BW88" s="3"/>
      <c r="BX88" s="17">
        <f t="shared" si="7"/>
        <v>1802781</v>
      </c>
      <c r="BY88" s="17"/>
      <c r="BZ88" s="17">
        <f>-BX88+GovBS!AC88</f>
        <v>0</v>
      </c>
    </row>
    <row r="89" spans="1:78" s="16" customFormat="1" ht="12">
      <c r="A89" s="3" t="s">
        <v>378</v>
      </c>
      <c r="B89" s="3"/>
      <c r="C89" s="3" t="s">
        <v>181</v>
      </c>
      <c r="D89" s="3"/>
      <c r="E89" s="3">
        <v>47324</v>
      </c>
      <c r="F89" s="3"/>
      <c r="G89" s="3">
        <v>0</v>
      </c>
      <c r="H89" s="3"/>
      <c r="I89" s="3">
        <v>7940838</v>
      </c>
      <c r="J89" s="3"/>
      <c r="K89" s="3">
        <v>106949</v>
      </c>
      <c r="L89" s="3"/>
      <c r="M89" s="3">
        <v>0</v>
      </c>
      <c r="N89" s="3"/>
      <c r="O89" s="3">
        <v>7560441</v>
      </c>
      <c r="P89" s="3"/>
      <c r="Q89" s="3">
        <v>6622297</v>
      </c>
      <c r="R89" s="3"/>
      <c r="S89" s="3">
        <v>31934</v>
      </c>
      <c r="T89" s="3"/>
      <c r="U89" s="3">
        <v>2335240</v>
      </c>
      <c r="V89" s="3"/>
      <c r="W89" s="3">
        <v>855772</v>
      </c>
      <c r="X89" s="3"/>
      <c r="Y89" s="3">
        <v>409481</v>
      </c>
      <c r="Z89" s="3"/>
      <c r="AA89" s="3">
        <v>411570</v>
      </c>
      <c r="AB89" s="3"/>
      <c r="AC89" s="3">
        <v>0</v>
      </c>
      <c r="AD89" s="3"/>
      <c r="AE89" s="16" t="s">
        <v>378</v>
      </c>
      <c r="AG89" s="16" t="s">
        <v>181</v>
      </c>
      <c r="AH89" s="3"/>
      <c r="AI89" s="3">
        <v>692727</v>
      </c>
      <c r="AJ89" s="3"/>
      <c r="AK89" s="3">
        <v>0</v>
      </c>
      <c r="AL89" s="3"/>
      <c r="AM89" s="3">
        <v>0</v>
      </c>
      <c r="AN89" s="3"/>
      <c r="AO89" s="3">
        <v>12815850</v>
      </c>
      <c r="AP89" s="3"/>
      <c r="AQ89" s="3">
        <v>0</v>
      </c>
      <c r="AR89" s="3"/>
      <c r="AS89" s="3">
        <v>0</v>
      </c>
      <c r="AT89" s="3"/>
      <c r="AU89" s="3">
        <v>0</v>
      </c>
      <c r="AV89" s="3"/>
      <c r="AW89" s="3">
        <v>41000</v>
      </c>
      <c r="AX89" s="3"/>
      <c r="AY89" s="3">
        <v>106400</v>
      </c>
      <c r="AZ89" s="3"/>
      <c r="BA89" s="3">
        <v>0</v>
      </c>
      <c r="BB89" s="3"/>
      <c r="BC89" s="17">
        <f t="shared" si="4"/>
        <v>39930499</v>
      </c>
      <c r="BD89" s="16" t="s">
        <v>378</v>
      </c>
      <c r="BF89" s="16" t="s">
        <v>181</v>
      </c>
      <c r="BG89" s="3"/>
      <c r="BH89" s="3">
        <v>0</v>
      </c>
      <c r="BI89" s="3"/>
      <c r="BJ89" s="3"/>
      <c r="BK89" s="3"/>
      <c r="BL89" s="3"/>
      <c r="BM89" s="3"/>
      <c r="BN89" s="3">
        <v>0</v>
      </c>
      <c r="BO89" s="3"/>
      <c r="BP89" s="17">
        <f t="shared" si="3"/>
        <v>39930499</v>
      </c>
      <c r="BQ89" s="3"/>
      <c r="BR89" s="17">
        <f>GovRev!AX89-BP89</f>
        <v>1189494</v>
      </c>
      <c r="BS89" s="3"/>
      <c r="BT89" s="3">
        <v>7789703</v>
      </c>
      <c r="BU89" s="3"/>
      <c r="BV89" s="3">
        <v>0</v>
      </c>
      <c r="BW89" s="3"/>
      <c r="BX89" s="17">
        <f t="shared" si="7"/>
        <v>8979197</v>
      </c>
      <c r="BY89" s="17"/>
      <c r="BZ89" s="17">
        <f>-BX89+GovBS!AC89</f>
        <v>0</v>
      </c>
    </row>
    <row r="90" spans="1:78" s="16" customFormat="1" ht="12">
      <c r="A90" s="3" t="s">
        <v>379</v>
      </c>
      <c r="B90" s="3"/>
      <c r="C90" s="3" t="s">
        <v>182</v>
      </c>
      <c r="D90" s="3"/>
      <c r="E90" s="3">
        <v>47407</v>
      </c>
      <c r="F90" s="3"/>
      <c r="G90" s="3">
        <v>107101</v>
      </c>
      <c r="H90" s="3"/>
      <c r="I90" s="3">
        <v>1314883</v>
      </c>
      <c r="J90" s="3"/>
      <c r="K90" s="3">
        <v>0</v>
      </c>
      <c r="L90" s="3"/>
      <c r="M90" s="3">
        <v>0</v>
      </c>
      <c r="N90" s="3"/>
      <c r="O90" s="3">
        <v>1065772</v>
      </c>
      <c r="P90" s="3"/>
      <c r="Q90" s="3">
        <v>1842822</v>
      </c>
      <c r="R90" s="3"/>
      <c r="S90" s="3">
        <v>52168</v>
      </c>
      <c r="T90" s="3"/>
      <c r="U90" s="3">
        <v>601768</v>
      </c>
      <c r="V90" s="3"/>
      <c r="W90" s="3">
        <v>227251</v>
      </c>
      <c r="X90" s="3"/>
      <c r="Y90" s="3">
        <v>0</v>
      </c>
      <c r="Z90" s="3"/>
      <c r="AA90" s="3">
        <v>82915</v>
      </c>
      <c r="AB90" s="3"/>
      <c r="AC90" s="3">
        <v>90208</v>
      </c>
      <c r="AD90" s="3"/>
      <c r="AE90" s="16" t="s">
        <v>379</v>
      </c>
      <c r="AG90" s="16" t="s">
        <v>182</v>
      </c>
      <c r="AH90" s="3"/>
      <c r="AI90" s="3">
        <v>15615</v>
      </c>
      <c r="AJ90" s="3"/>
      <c r="AK90" s="3">
        <v>0</v>
      </c>
      <c r="AL90" s="3"/>
      <c r="AM90" s="3">
        <v>0</v>
      </c>
      <c r="AN90" s="3"/>
      <c r="AO90" s="3">
        <v>3996</v>
      </c>
      <c r="AP90" s="3"/>
      <c r="AQ90" s="3">
        <v>0</v>
      </c>
      <c r="AR90" s="3"/>
      <c r="AS90" s="3">
        <v>0</v>
      </c>
      <c r="AT90" s="3"/>
      <c r="AU90" s="3">
        <v>0</v>
      </c>
      <c r="AV90" s="3"/>
      <c r="AW90" s="3">
        <v>0</v>
      </c>
      <c r="AX90" s="3"/>
      <c r="AY90" s="3">
        <v>0</v>
      </c>
      <c r="AZ90" s="3"/>
      <c r="BA90" s="3">
        <v>0</v>
      </c>
      <c r="BB90" s="3"/>
      <c r="BC90" s="17">
        <f t="shared" si="4"/>
        <v>5404499</v>
      </c>
      <c r="BD90" s="16" t="s">
        <v>379</v>
      </c>
      <c r="BF90" s="16" t="s">
        <v>182</v>
      </c>
      <c r="BG90" s="3"/>
      <c r="BH90" s="3">
        <v>0</v>
      </c>
      <c r="BI90" s="3"/>
      <c r="BJ90" s="3"/>
      <c r="BK90" s="3"/>
      <c r="BL90" s="3"/>
      <c r="BM90" s="3"/>
      <c r="BN90" s="3">
        <v>0</v>
      </c>
      <c r="BO90" s="3"/>
      <c r="BP90" s="17">
        <f t="shared" si="3"/>
        <v>5404499</v>
      </c>
      <c r="BQ90" s="3"/>
      <c r="BR90" s="17">
        <f>GovRev!AX90-BP90</f>
        <v>-95621</v>
      </c>
      <c r="BS90" s="3"/>
      <c r="BT90" s="3">
        <v>414600</v>
      </c>
      <c r="BU90" s="3"/>
      <c r="BV90" s="3">
        <v>0</v>
      </c>
      <c r="BW90" s="3"/>
      <c r="BX90" s="17">
        <f t="shared" si="7"/>
        <v>318979</v>
      </c>
      <c r="BY90" s="17"/>
      <c r="BZ90" s="17">
        <f>-BX90+GovBS!AC90</f>
        <v>0</v>
      </c>
    </row>
    <row r="91" spans="1:78" s="16" customFormat="1" ht="12">
      <c r="A91" s="3" t="s">
        <v>380</v>
      </c>
      <c r="B91" s="3"/>
      <c r="C91" s="3" t="s">
        <v>21</v>
      </c>
      <c r="D91" s="3"/>
      <c r="E91" s="3">
        <v>47480</v>
      </c>
      <c r="F91" s="3"/>
      <c r="G91" s="3">
        <v>140556</v>
      </c>
      <c r="H91" s="3"/>
      <c r="I91" s="3">
        <v>479082</v>
      </c>
      <c r="J91" s="3"/>
      <c r="K91" s="3">
        <v>0</v>
      </c>
      <c r="L91" s="3"/>
      <c r="M91" s="3">
        <v>0</v>
      </c>
      <c r="N91" s="3"/>
      <c r="O91" s="3">
        <v>994691</v>
      </c>
      <c r="P91" s="3"/>
      <c r="Q91" s="3">
        <v>236922</v>
      </c>
      <c r="R91" s="3"/>
      <c r="S91" s="3">
        <v>19510</v>
      </c>
      <c r="T91" s="3"/>
      <c r="U91" s="3">
        <v>197645</v>
      </c>
      <c r="V91" s="3"/>
      <c r="W91" s="3">
        <v>159040</v>
      </c>
      <c r="X91" s="3"/>
      <c r="Y91" s="3">
        <v>0</v>
      </c>
      <c r="Z91" s="3"/>
      <c r="AA91" s="3">
        <v>22432</v>
      </c>
      <c r="AB91" s="3"/>
      <c r="AC91" s="3">
        <v>0</v>
      </c>
      <c r="AD91" s="3"/>
      <c r="AE91" s="16" t="s">
        <v>380</v>
      </c>
      <c r="AG91" s="16" t="s">
        <v>21</v>
      </c>
      <c r="AH91" s="3"/>
      <c r="AI91" s="3">
        <v>106638</v>
      </c>
      <c r="AJ91" s="3"/>
      <c r="AK91" s="3">
        <v>0</v>
      </c>
      <c r="AL91" s="3"/>
      <c r="AM91" s="3">
        <v>0</v>
      </c>
      <c r="AN91" s="3"/>
      <c r="AO91" s="3">
        <v>0</v>
      </c>
      <c r="AP91" s="3"/>
      <c r="AQ91" s="3">
        <v>2324</v>
      </c>
      <c r="AR91" s="3"/>
      <c r="AS91" s="3">
        <v>0</v>
      </c>
      <c r="AT91" s="3"/>
      <c r="AU91" s="3">
        <v>602219</v>
      </c>
      <c r="AV91" s="3"/>
      <c r="AW91" s="3">
        <v>0</v>
      </c>
      <c r="AX91" s="3"/>
      <c r="AY91" s="3">
        <v>0</v>
      </c>
      <c r="AZ91" s="3"/>
      <c r="BA91" s="3">
        <v>0</v>
      </c>
      <c r="BB91" s="3"/>
      <c r="BC91" s="17">
        <f t="shared" si="4"/>
        <v>2961059</v>
      </c>
      <c r="BD91" s="16" t="s">
        <v>380</v>
      </c>
      <c r="BF91" s="16" t="s">
        <v>21</v>
      </c>
      <c r="BG91" s="3"/>
      <c r="BH91" s="3">
        <v>0</v>
      </c>
      <c r="BI91" s="3"/>
      <c r="BJ91" s="3"/>
      <c r="BK91" s="3"/>
      <c r="BL91" s="3"/>
      <c r="BM91" s="3"/>
      <c r="BN91" s="3">
        <v>0</v>
      </c>
      <c r="BO91" s="3"/>
      <c r="BP91" s="17">
        <f t="shared" si="3"/>
        <v>2961059</v>
      </c>
      <c r="BQ91" s="3"/>
      <c r="BR91" s="17">
        <f>GovRev!AX91-BP91</f>
        <v>-210375</v>
      </c>
      <c r="BS91" s="3"/>
      <c r="BT91" s="3">
        <v>1204478</v>
      </c>
      <c r="BU91" s="3"/>
      <c r="BV91" s="3">
        <v>0</v>
      </c>
      <c r="BW91" s="3"/>
      <c r="BX91" s="17">
        <f t="shared" si="7"/>
        <v>994103</v>
      </c>
      <c r="BY91" s="17"/>
      <c r="BZ91" s="17">
        <f>-BX91+GovBS!AC91</f>
        <v>0</v>
      </c>
    </row>
    <row r="92" spans="1:78" s="16" customFormat="1" ht="12">
      <c r="A92" s="3" t="s">
        <v>381</v>
      </c>
      <c r="B92" s="3"/>
      <c r="C92" s="3" t="s">
        <v>183</v>
      </c>
      <c r="D92" s="3"/>
      <c r="E92" s="3">
        <v>47779</v>
      </c>
      <c r="F92" s="3"/>
      <c r="G92" s="3">
        <v>132917</v>
      </c>
      <c r="H92" s="3"/>
      <c r="I92" s="3">
        <v>435425</v>
      </c>
      <c r="J92" s="3"/>
      <c r="K92" s="3">
        <v>0</v>
      </c>
      <c r="L92" s="3"/>
      <c r="M92" s="3">
        <v>6200</v>
      </c>
      <c r="N92" s="3"/>
      <c r="O92" s="3">
        <v>1430794</v>
      </c>
      <c r="P92" s="3"/>
      <c r="Q92" s="3">
        <v>3085345</v>
      </c>
      <c r="R92" s="3"/>
      <c r="S92" s="3">
        <v>18227</v>
      </c>
      <c r="T92" s="3"/>
      <c r="U92" s="3">
        <v>1057236</v>
      </c>
      <c r="V92" s="3"/>
      <c r="W92" s="3">
        <v>240702</v>
      </c>
      <c r="X92" s="3"/>
      <c r="Y92" s="3">
        <v>0</v>
      </c>
      <c r="Z92" s="3"/>
      <c r="AA92" s="3">
        <v>13131</v>
      </c>
      <c r="AB92" s="3"/>
      <c r="AC92" s="3">
        <v>0</v>
      </c>
      <c r="AD92" s="3"/>
      <c r="AE92" s="16" t="s">
        <v>381</v>
      </c>
      <c r="AG92" s="16" t="s">
        <v>183</v>
      </c>
      <c r="AH92" s="3"/>
      <c r="AI92" s="3">
        <v>5036</v>
      </c>
      <c r="AJ92" s="3"/>
      <c r="AK92" s="3">
        <v>0</v>
      </c>
      <c r="AL92" s="3"/>
      <c r="AM92" s="3">
        <v>0</v>
      </c>
      <c r="AN92" s="3"/>
      <c r="AO92" s="3">
        <v>0</v>
      </c>
      <c r="AP92" s="3"/>
      <c r="AQ92" s="3">
        <v>0</v>
      </c>
      <c r="AR92" s="3"/>
      <c r="AS92" s="3">
        <v>18120</v>
      </c>
      <c r="AT92" s="3"/>
      <c r="AU92" s="3">
        <v>0</v>
      </c>
      <c r="AV92" s="3"/>
      <c r="AW92" s="3">
        <v>3632</v>
      </c>
      <c r="AX92" s="3"/>
      <c r="AY92" s="3">
        <v>974</v>
      </c>
      <c r="AZ92" s="3"/>
      <c r="BA92" s="3">
        <v>0</v>
      </c>
      <c r="BB92" s="3"/>
      <c r="BC92" s="17">
        <f t="shared" si="4"/>
        <v>6447739</v>
      </c>
      <c r="BD92" s="16" t="s">
        <v>381</v>
      </c>
      <c r="BF92" s="16" t="s">
        <v>183</v>
      </c>
      <c r="BG92" s="3"/>
      <c r="BH92" s="3">
        <v>0</v>
      </c>
      <c r="BI92" s="3"/>
      <c r="BJ92" s="3"/>
      <c r="BK92" s="3"/>
      <c r="BL92" s="3"/>
      <c r="BM92" s="3"/>
      <c r="BN92" s="3">
        <v>0</v>
      </c>
      <c r="BO92" s="3"/>
      <c r="BP92" s="17">
        <f t="shared" si="3"/>
        <v>6447739</v>
      </c>
      <c r="BQ92" s="3"/>
      <c r="BR92" s="17">
        <f>GovRev!AX92-BP92</f>
        <v>341833</v>
      </c>
      <c r="BS92" s="3"/>
      <c r="BT92" s="3">
        <v>2830758</v>
      </c>
      <c r="BU92" s="3"/>
      <c r="BV92" s="3">
        <v>0</v>
      </c>
      <c r="BW92" s="3"/>
      <c r="BX92" s="17">
        <f t="shared" si="7"/>
        <v>3172591</v>
      </c>
      <c r="BY92" s="17"/>
      <c r="BZ92" s="17">
        <f>-BX92+GovBS!AC92</f>
        <v>0</v>
      </c>
    </row>
    <row r="93" spans="1:78" s="16" customFormat="1" ht="12">
      <c r="A93" s="3" t="s">
        <v>382</v>
      </c>
      <c r="B93" s="3"/>
      <c r="C93" s="3" t="s">
        <v>184</v>
      </c>
      <c r="D93" s="3"/>
      <c r="E93" s="3">
        <v>47811</v>
      </c>
      <c r="F93" s="3"/>
      <c r="G93" s="3">
        <v>591932</v>
      </c>
      <c r="H93" s="3"/>
      <c r="I93" s="3">
        <v>3690714</v>
      </c>
      <c r="J93" s="3"/>
      <c r="K93" s="3">
        <v>0</v>
      </c>
      <c r="L93" s="3"/>
      <c r="M93" s="3">
        <v>0</v>
      </c>
      <c r="N93" s="3"/>
      <c r="O93" s="3">
        <v>1006889</v>
      </c>
      <c r="P93" s="3"/>
      <c r="Q93" s="3">
        <v>505107</v>
      </c>
      <c r="R93" s="3"/>
      <c r="S93" s="3">
        <v>27987</v>
      </c>
      <c r="T93" s="3"/>
      <c r="U93" s="3">
        <v>363344</v>
      </c>
      <c r="V93" s="3"/>
      <c r="W93" s="3">
        <v>107940</v>
      </c>
      <c r="X93" s="3"/>
      <c r="Y93" s="3">
        <v>0</v>
      </c>
      <c r="Z93" s="3"/>
      <c r="AA93" s="3">
        <v>42375</v>
      </c>
      <c r="AB93" s="3"/>
      <c r="AC93" s="3">
        <v>0</v>
      </c>
      <c r="AD93" s="3"/>
      <c r="AE93" s="16" t="s">
        <v>382</v>
      </c>
      <c r="AG93" s="16" t="s">
        <v>184</v>
      </c>
      <c r="AH93" s="3"/>
      <c r="AI93" s="3">
        <v>890</v>
      </c>
      <c r="AJ93" s="3"/>
      <c r="AK93" s="3">
        <v>0</v>
      </c>
      <c r="AL93" s="3"/>
      <c r="AM93" s="3">
        <v>0</v>
      </c>
      <c r="AN93" s="3"/>
      <c r="AO93" s="3">
        <v>0</v>
      </c>
      <c r="AP93" s="3"/>
      <c r="AQ93" s="3">
        <v>4751</v>
      </c>
      <c r="AR93" s="3"/>
      <c r="AS93" s="3">
        <v>0</v>
      </c>
      <c r="AT93" s="3"/>
      <c r="AU93" s="3">
        <v>0</v>
      </c>
      <c r="AV93" s="3"/>
      <c r="AW93" s="3">
        <v>0</v>
      </c>
      <c r="AX93" s="3"/>
      <c r="AY93" s="3">
        <v>0</v>
      </c>
      <c r="AZ93" s="3"/>
      <c r="BA93" s="3">
        <v>0</v>
      </c>
      <c r="BB93" s="3"/>
      <c r="BC93" s="17">
        <f t="shared" si="4"/>
        <v>6341929</v>
      </c>
      <c r="BD93" s="16" t="s">
        <v>382</v>
      </c>
      <c r="BF93" s="16" t="s">
        <v>184</v>
      </c>
      <c r="BG93" s="3"/>
      <c r="BH93" s="3">
        <v>0</v>
      </c>
      <c r="BI93" s="3"/>
      <c r="BJ93" s="3"/>
      <c r="BK93" s="3"/>
      <c r="BL93" s="3"/>
      <c r="BM93" s="3"/>
      <c r="BN93" s="3">
        <v>0</v>
      </c>
      <c r="BO93" s="3"/>
      <c r="BP93" s="17">
        <f t="shared" si="3"/>
        <v>6341929</v>
      </c>
      <c r="BQ93" s="3"/>
      <c r="BR93" s="17">
        <f>GovRev!AX93-BP93</f>
        <v>-488571</v>
      </c>
      <c r="BS93" s="3"/>
      <c r="BT93" s="3">
        <v>533662</v>
      </c>
      <c r="BU93" s="3"/>
      <c r="BV93" s="3">
        <v>0</v>
      </c>
      <c r="BW93" s="3"/>
      <c r="BX93" s="17">
        <f t="shared" si="7"/>
        <v>45091</v>
      </c>
      <c r="BY93" s="17"/>
      <c r="BZ93" s="17">
        <f>-BX93+GovBS!AC93</f>
        <v>0</v>
      </c>
    </row>
    <row r="94" spans="1:78" s="16" customFormat="1" ht="12">
      <c r="A94" s="3" t="s">
        <v>383</v>
      </c>
      <c r="B94" s="3"/>
      <c r="C94" s="3" t="s">
        <v>154</v>
      </c>
      <c r="D94" s="3"/>
      <c r="E94" s="3">
        <v>47860</v>
      </c>
      <c r="F94" s="3"/>
      <c r="G94" s="3">
        <v>365527</v>
      </c>
      <c r="H94" s="3"/>
      <c r="I94" s="3">
        <v>2635956</v>
      </c>
      <c r="J94" s="3"/>
      <c r="K94" s="3">
        <v>448223</v>
      </c>
      <c r="L94" s="3"/>
      <c r="M94" s="3">
        <v>58245</v>
      </c>
      <c r="N94" s="3"/>
      <c r="O94" s="3">
        <v>2982645</v>
      </c>
      <c r="P94" s="3"/>
      <c r="Q94" s="3">
        <v>2213781</v>
      </c>
      <c r="R94" s="3"/>
      <c r="S94" s="3">
        <v>7302012</v>
      </c>
      <c r="T94" s="3"/>
      <c r="U94" s="3">
        <v>1776805</v>
      </c>
      <c r="V94" s="3"/>
      <c r="W94" s="3">
        <v>270459</v>
      </c>
      <c r="X94" s="3"/>
      <c r="Y94" s="3">
        <v>0</v>
      </c>
      <c r="Z94" s="3"/>
      <c r="AA94" s="3">
        <v>136433</v>
      </c>
      <c r="AB94" s="3"/>
      <c r="AC94" s="3">
        <v>151742</v>
      </c>
      <c r="AD94" s="3"/>
      <c r="AE94" s="16" t="s">
        <v>383</v>
      </c>
      <c r="AG94" s="16" t="s">
        <v>154</v>
      </c>
      <c r="AH94" s="3"/>
      <c r="AI94" s="3">
        <v>824184</v>
      </c>
      <c r="AJ94" s="3"/>
      <c r="AK94" s="3">
        <v>0</v>
      </c>
      <c r="AL94" s="3"/>
      <c r="AM94" s="3">
        <v>0</v>
      </c>
      <c r="AN94" s="3"/>
      <c r="AO94" s="3">
        <v>72032</v>
      </c>
      <c r="AP94" s="3"/>
      <c r="AQ94" s="3">
        <v>0</v>
      </c>
      <c r="AR94" s="3"/>
      <c r="AS94" s="3">
        <v>0</v>
      </c>
      <c r="AT94" s="3"/>
      <c r="AU94" s="3">
        <v>0</v>
      </c>
      <c r="AV94" s="3"/>
      <c r="AW94" s="3">
        <v>0</v>
      </c>
      <c r="AX94" s="3"/>
      <c r="AY94" s="3">
        <v>0</v>
      </c>
      <c r="AZ94" s="3"/>
      <c r="BA94" s="3">
        <v>0</v>
      </c>
      <c r="BB94" s="3"/>
      <c r="BC94" s="17">
        <f t="shared" si="4"/>
        <v>19238044</v>
      </c>
      <c r="BD94" s="16" t="s">
        <v>383</v>
      </c>
      <c r="BF94" s="16" t="s">
        <v>154</v>
      </c>
      <c r="BG94" s="3"/>
      <c r="BH94" s="3">
        <v>51925</v>
      </c>
      <c r="BI94" s="3"/>
      <c r="BJ94" s="3"/>
      <c r="BK94" s="3"/>
      <c r="BL94" s="3"/>
      <c r="BM94" s="3"/>
      <c r="BN94" s="3">
        <v>0</v>
      </c>
      <c r="BO94" s="3"/>
      <c r="BP94" s="17">
        <f t="shared" si="3"/>
        <v>19289969</v>
      </c>
      <c r="BQ94" s="3"/>
      <c r="BR94" s="17">
        <f>GovRev!AX94-BP94</f>
        <v>853368</v>
      </c>
      <c r="BS94" s="3"/>
      <c r="BT94" s="3">
        <v>493126</v>
      </c>
      <c r="BU94" s="3"/>
      <c r="BV94" s="3">
        <v>0</v>
      </c>
      <c r="BW94" s="3"/>
      <c r="BX94" s="17">
        <f t="shared" si="7"/>
        <v>1346494</v>
      </c>
      <c r="BY94" s="17"/>
      <c r="BZ94" s="17">
        <f>-BX94+GovBS!AC94</f>
        <v>0</v>
      </c>
    </row>
    <row r="95" spans="1:78" s="16" customFormat="1" ht="12">
      <c r="A95" s="3" t="s">
        <v>368</v>
      </c>
      <c r="B95" s="3"/>
      <c r="C95" s="3" t="s">
        <v>185</v>
      </c>
      <c r="D95" s="3"/>
      <c r="E95" s="3">
        <v>47910</v>
      </c>
      <c r="F95" s="3"/>
      <c r="G95" s="3">
        <v>212751</v>
      </c>
      <c r="H95" s="3"/>
      <c r="I95" s="3">
        <v>24570</v>
      </c>
      <c r="J95" s="3"/>
      <c r="K95" s="3">
        <v>0</v>
      </c>
      <c r="L95" s="3"/>
      <c r="M95" s="3">
        <v>0</v>
      </c>
      <c r="N95" s="3"/>
      <c r="O95" s="3">
        <v>431489</v>
      </c>
      <c r="P95" s="3"/>
      <c r="Q95" s="3">
        <v>291603</v>
      </c>
      <c r="R95" s="3"/>
      <c r="S95" s="3">
        <v>35132</v>
      </c>
      <c r="T95" s="3"/>
      <c r="U95" s="3">
        <v>225238</v>
      </c>
      <c r="V95" s="3"/>
      <c r="W95" s="3">
        <v>137026</v>
      </c>
      <c r="X95" s="3"/>
      <c r="Y95" s="3">
        <v>0</v>
      </c>
      <c r="Z95" s="3"/>
      <c r="AA95" s="3">
        <v>27074</v>
      </c>
      <c r="AC95" s="3">
        <v>0</v>
      </c>
      <c r="AD95" s="3"/>
      <c r="AE95" s="16" t="s">
        <v>368</v>
      </c>
      <c r="AG95" s="16" t="s">
        <v>185</v>
      </c>
      <c r="AH95" s="3"/>
      <c r="AI95" s="3">
        <v>153462</v>
      </c>
      <c r="AJ95" s="3"/>
      <c r="AK95" s="3">
        <v>0</v>
      </c>
      <c r="AL95" s="3"/>
      <c r="AM95" s="3">
        <v>0</v>
      </c>
      <c r="AN95" s="3"/>
      <c r="AO95" s="3">
        <v>0</v>
      </c>
      <c r="AP95" s="3"/>
      <c r="AQ95" s="3">
        <v>0</v>
      </c>
      <c r="AR95" s="3"/>
      <c r="AS95" s="3">
        <v>0</v>
      </c>
      <c r="AT95" s="3"/>
      <c r="AU95" s="3">
        <v>0</v>
      </c>
      <c r="AV95" s="3"/>
      <c r="AW95" s="3">
        <v>0</v>
      </c>
      <c r="AX95" s="3"/>
      <c r="AY95" s="3">
        <v>0</v>
      </c>
      <c r="AZ95" s="3"/>
      <c r="BA95" s="3">
        <v>0</v>
      </c>
      <c r="BB95" s="3"/>
      <c r="BC95" s="17">
        <f t="shared" si="4"/>
        <v>1538345</v>
      </c>
      <c r="BD95" s="16" t="s">
        <v>368</v>
      </c>
      <c r="BF95" s="16" t="s">
        <v>185</v>
      </c>
      <c r="BG95" s="3"/>
      <c r="BH95" s="3">
        <v>0</v>
      </c>
      <c r="BI95" s="3"/>
      <c r="BJ95" s="3"/>
      <c r="BK95" s="3"/>
      <c r="BL95" s="3"/>
      <c r="BM95" s="3"/>
      <c r="BN95" s="3">
        <v>0</v>
      </c>
      <c r="BO95" s="3"/>
      <c r="BP95" s="17">
        <f t="shared" si="3"/>
        <v>1538345</v>
      </c>
      <c r="BQ95" s="3"/>
      <c r="BR95" s="17">
        <f>GovRev!AX95-BP95</f>
        <v>144569</v>
      </c>
      <c r="BS95" s="3"/>
      <c r="BT95" s="3">
        <v>110769</v>
      </c>
      <c r="BU95" s="3"/>
      <c r="BV95" s="3">
        <v>0</v>
      </c>
      <c r="BW95" s="3"/>
      <c r="BX95" s="17">
        <f t="shared" si="7"/>
        <v>255338</v>
      </c>
      <c r="BY95" s="17"/>
      <c r="BZ95" s="17">
        <f>-BX95+GovBS!AC95</f>
        <v>0</v>
      </c>
    </row>
    <row r="96" spans="1:78" s="16" customFormat="1" ht="12">
      <c r="A96" s="3" t="s">
        <v>369</v>
      </c>
      <c r="B96" s="3"/>
      <c r="C96" s="3" t="s">
        <v>187</v>
      </c>
      <c r="D96" s="3"/>
      <c r="E96" s="3"/>
      <c r="F96" s="3"/>
      <c r="G96" s="3">
        <v>0</v>
      </c>
      <c r="H96" s="3"/>
      <c r="I96" s="3">
        <v>2886609</v>
      </c>
      <c r="J96" s="3"/>
      <c r="K96" s="3">
        <v>0</v>
      </c>
      <c r="L96" s="3"/>
      <c r="M96" s="3">
        <v>0</v>
      </c>
      <c r="N96" s="3"/>
      <c r="O96" s="3">
        <v>1863992</v>
      </c>
      <c r="P96" s="3"/>
      <c r="Q96" s="3">
        <v>4734593</v>
      </c>
      <c r="R96" s="3"/>
      <c r="S96" s="3">
        <v>12679</v>
      </c>
      <c r="T96" s="3"/>
      <c r="U96" s="3">
        <v>944956</v>
      </c>
      <c r="V96" s="3"/>
      <c r="W96" s="3">
        <v>287071</v>
      </c>
      <c r="X96" s="3"/>
      <c r="Y96" s="3">
        <v>8033</v>
      </c>
      <c r="Z96" s="3"/>
      <c r="AA96" s="3">
        <v>88358</v>
      </c>
      <c r="AC96" s="3">
        <v>0</v>
      </c>
      <c r="AD96" s="3"/>
      <c r="AE96" s="3" t="s">
        <v>369</v>
      </c>
      <c r="AF96" s="3"/>
      <c r="AG96" s="3" t="s">
        <v>187</v>
      </c>
      <c r="AH96" s="3"/>
      <c r="AI96" s="3">
        <v>264503</v>
      </c>
      <c r="AJ96" s="3"/>
      <c r="AK96" s="3">
        <v>0</v>
      </c>
      <c r="AL96" s="3"/>
      <c r="AM96" s="3">
        <v>0</v>
      </c>
      <c r="AN96" s="3"/>
      <c r="AO96" s="3">
        <v>0</v>
      </c>
      <c r="AP96" s="3"/>
      <c r="AQ96" s="3">
        <v>0</v>
      </c>
      <c r="AR96" s="3"/>
      <c r="AS96" s="3">
        <v>0</v>
      </c>
      <c r="AT96" s="3"/>
      <c r="AU96" s="3">
        <v>148811</v>
      </c>
      <c r="AV96" s="3"/>
      <c r="AW96" s="3">
        <v>14413</v>
      </c>
      <c r="AX96" s="3"/>
      <c r="AY96" s="3">
        <v>3164</v>
      </c>
      <c r="AZ96" s="3"/>
      <c r="BA96" s="3">
        <v>0</v>
      </c>
      <c r="BB96" s="3"/>
      <c r="BC96" s="17">
        <f>SUM(G96:BA96)</f>
        <v>11257182</v>
      </c>
      <c r="BD96" s="3" t="s">
        <v>369</v>
      </c>
      <c r="BE96" s="3"/>
      <c r="BF96" s="3" t="s">
        <v>187</v>
      </c>
      <c r="BG96" s="3"/>
      <c r="BH96" s="3">
        <v>0</v>
      </c>
      <c r="BI96" s="3"/>
      <c r="BJ96" s="3"/>
      <c r="BK96" s="3"/>
      <c r="BL96" s="3"/>
      <c r="BM96" s="3"/>
      <c r="BN96" s="3">
        <v>0</v>
      </c>
      <c r="BO96" s="3"/>
      <c r="BP96" s="17">
        <f t="shared" si="3"/>
        <v>11257182</v>
      </c>
      <c r="BQ96" s="3"/>
      <c r="BR96" s="17">
        <f>GovRev!AX96-BP96</f>
        <v>-205873</v>
      </c>
      <c r="BS96" s="3"/>
      <c r="BT96" s="3">
        <v>167267</v>
      </c>
      <c r="BU96" s="3"/>
      <c r="BV96" s="3">
        <v>0</v>
      </c>
      <c r="BW96" s="3"/>
      <c r="BX96" s="17">
        <f t="shared" si="7"/>
        <v>-38606</v>
      </c>
      <c r="BY96" s="17"/>
      <c r="BZ96" s="17">
        <f>-BX96+GovBS!AC96</f>
        <v>0</v>
      </c>
    </row>
    <row r="97" spans="1:78" s="16" customFormat="1" ht="12">
      <c r="A97" s="3" t="s">
        <v>370</v>
      </c>
      <c r="B97" s="3"/>
      <c r="C97" s="3" t="s">
        <v>188</v>
      </c>
      <c r="D97" s="3"/>
      <c r="E97" s="3">
        <v>48058</v>
      </c>
      <c r="F97" s="3"/>
      <c r="G97" s="3">
        <v>0</v>
      </c>
      <c r="H97" s="3"/>
      <c r="I97" s="3">
        <v>2194958</v>
      </c>
      <c r="J97" s="3"/>
      <c r="K97" s="3">
        <v>0</v>
      </c>
      <c r="L97" s="3"/>
      <c r="M97" s="3">
        <v>0</v>
      </c>
      <c r="N97" s="3"/>
      <c r="O97" s="3">
        <v>480823</v>
      </c>
      <c r="P97" s="3"/>
      <c r="Q97" s="3">
        <v>261699</v>
      </c>
      <c r="R97" s="3"/>
      <c r="S97" s="3">
        <v>15609</v>
      </c>
      <c r="T97" s="3"/>
      <c r="U97" s="3">
        <v>161845</v>
      </c>
      <c r="V97" s="3"/>
      <c r="W97" s="3">
        <v>323153</v>
      </c>
      <c r="X97" s="3"/>
      <c r="Y97" s="3">
        <v>0</v>
      </c>
      <c r="Z97" s="3"/>
      <c r="AA97" s="3">
        <v>8689</v>
      </c>
      <c r="AB97" s="3"/>
      <c r="AC97" s="3">
        <v>0</v>
      </c>
      <c r="AD97" s="3"/>
      <c r="AE97" s="16" t="s">
        <v>370</v>
      </c>
      <c r="AG97" s="16" t="s">
        <v>188</v>
      </c>
      <c r="AH97" s="3"/>
      <c r="AI97" s="3">
        <v>30610</v>
      </c>
      <c r="AJ97" s="3"/>
      <c r="AK97" s="3">
        <v>0</v>
      </c>
      <c r="AL97" s="3"/>
      <c r="AM97" s="3">
        <v>0</v>
      </c>
      <c r="AN97" s="3"/>
      <c r="AO97" s="3">
        <v>37213</v>
      </c>
      <c r="AP97" s="3"/>
      <c r="AQ97" s="3">
        <v>398</v>
      </c>
      <c r="AR97" s="3"/>
      <c r="AS97" s="3">
        <v>0</v>
      </c>
      <c r="AT97" s="3"/>
      <c r="AU97" s="3">
        <v>0</v>
      </c>
      <c r="AV97" s="3"/>
      <c r="AW97" s="3">
        <v>0</v>
      </c>
      <c r="AX97" s="3"/>
      <c r="AY97" s="3">
        <v>0</v>
      </c>
      <c r="AZ97" s="3"/>
      <c r="BA97" s="3">
        <v>0</v>
      </c>
      <c r="BB97" s="3"/>
      <c r="BC97" s="17">
        <f t="shared" si="4"/>
        <v>3514997</v>
      </c>
      <c r="BD97" s="16" t="s">
        <v>370</v>
      </c>
      <c r="BF97" s="16" t="s">
        <v>188</v>
      </c>
      <c r="BG97" s="3"/>
      <c r="BH97" s="3">
        <v>0</v>
      </c>
      <c r="BI97" s="3"/>
      <c r="BJ97" s="3"/>
      <c r="BK97" s="3"/>
      <c r="BL97" s="3"/>
      <c r="BM97" s="3"/>
      <c r="BN97" s="3">
        <v>0</v>
      </c>
      <c r="BO97" s="3"/>
      <c r="BP97" s="17">
        <f t="shared" si="3"/>
        <v>3514997</v>
      </c>
      <c r="BQ97" s="3"/>
      <c r="BR97" s="17">
        <f>GovRev!AX97-BP97</f>
        <v>98872</v>
      </c>
      <c r="BS97" s="3"/>
      <c r="BT97" s="3">
        <v>572910</v>
      </c>
      <c r="BU97" s="3"/>
      <c r="BV97" s="3">
        <v>0</v>
      </c>
      <c r="BW97" s="3"/>
      <c r="BX97" s="17">
        <f t="shared" si="7"/>
        <v>671782</v>
      </c>
      <c r="BY97" s="17"/>
      <c r="BZ97" s="17">
        <f>-BX97+GovBS!AC97</f>
        <v>0</v>
      </c>
    </row>
    <row r="98" spans="1:78" s="16" customFormat="1" ht="12">
      <c r="A98" s="3" t="s">
        <v>371</v>
      </c>
      <c r="B98" s="3"/>
      <c r="C98" s="3" t="s">
        <v>150</v>
      </c>
      <c r="D98" s="3"/>
      <c r="E98" s="3">
        <v>48108</v>
      </c>
      <c r="F98" s="3"/>
      <c r="G98" s="3">
        <v>794625</v>
      </c>
      <c r="H98" s="3"/>
      <c r="I98" s="3">
        <v>1402468</v>
      </c>
      <c r="J98" s="3"/>
      <c r="K98" s="3">
        <v>0</v>
      </c>
      <c r="L98" s="3"/>
      <c r="M98" s="3">
        <v>0</v>
      </c>
      <c r="N98" s="3"/>
      <c r="O98" s="3">
        <v>1604472</v>
      </c>
      <c r="P98" s="3"/>
      <c r="Q98" s="3">
        <v>5018814</v>
      </c>
      <c r="R98" s="3"/>
      <c r="S98" s="3">
        <v>34940</v>
      </c>
      <c r="T98" s="3"/>
      <c r="U98" s="3">
        <v>709183</v>
      </c>
      <c r="V98" s="3"/>
      <c r="W98" s="3">
        <v>350413</v>
      </c>
      <c r="X98" s="3"/>
      <c r="Y98" s="3">
        <v>501019</v>
      </c>
      <c r="Z98" s="3"/>
      <c r="AA98" s="3">
        <v>258155</v>
      </c>
      <c r="AB98" s="3"/>
      <c r="AC98" s="3">
        <v>0</v>
      </c>
      <c r="AD98" s="3"/>
      <c r="AE98" s="16" t="s">
        <v>371</v>
      </c>
      <c r="AG98" s="16" t="s">
        <v>150</v>
      </c>
      <c r="AH98" s="3"/>
      <c r="AI98" s="3">
        <v>0</v>
      </c>
      <c r="AJ98" s="3"/>
      <c r="AK98" s="3">
        <v>0</v>
      </c>
      <c r="AL98" s="3"/>
      <c r="AM98" s="3">
        <v>0</v>
      </c>
      <c r="AN98" s="3"/>
      <c r="AO98" s="3">
        <v>47867</v>
      </c>
      <c r="AP98" s="3"/>
      <c r="AQ98" s="3">
        <v>12264</v>
      </c>
      <c r="AR98" s="3"/>
      <c r="AS98" s="3">
        <v>13537</v>
      </c>
      <c r="AT98" s="3"/>
      <c r="AU98" s="3">
        <v>0</v>
      </c>
      <c r="AV98" s="3"/>
      <c r="AW98" s="3">
        <v>1674</v>
      </c>
      <c r="AX98" s="3"/>
      <c r="AY98" s="3">
        <v>21</v>
      </c>
      <c r="AZ98" s="3"/>
      <c r="BA98" s="3">
        <v>0</v>
      </c>
      <c r="BB98" s="3"/>
      <c r="BC98" s="17">
        <f t="shared" si="4"/>
        <v>10749452</v>
      </c>
      <c r="BD98" s="16" t="s">
        <v>371</v>
      </c>
      <c r="BF98" s="16" t="s">
        <v>150</v>
      </c>
      <c r="BG98" s="3"/>
      <c r="BH98" s="3">
        <v>0</v>
      </c>
      <c r="BI98" s="3"/>
      <c r="BJ98" s="3"/>
      <c r="BK98" s="3"/>
      <c r="BL98" s="3"/>
      <c r="BM98" s="3"/>
      <c r="BN98" s="3">
        <v>0</v>
      </c>
      <c r="BO98" s="3"/>
      <c r="BP98" s="17">
        <f t="shared" si="3"/>
        <v>10749452</v>
      </c>
      <c r="BQ98" s="3"/>
      <c r="BR98" s="17">
        <f>GovRev!AX98-BP98</f>
        <v>68491</v>
      </c>
      <c r="BS98" s="3"/>
      <c r="BT98" s="3">
        <v>3122188</v>
      </c>
      <c r="BU98" s="3"/>
      <c r="BV98" s="3">
        <v>0</v>
      </c>
      <c r="BW98" s="3"/>
      <c r="BX98" s="17">
        <f t="shared" si="7"/>
        <v>3190679</v>
      </c>
      <c r="BY98" s="17"/>
      <c r="BZ98" s="17">
        <f>-BX98+GovBS!AC98</f>
        <v>0</v>
      </c>
    </row>
    <row r="99" spans="1:78" s="16" customFormat="1" ht="12">
      <c r="A99" s="3" t="s">
        <v>372</v>
      </c>
      <c r="B99" s="3"/>
      <c r="C99" s="3" t="s">
        <v>189</v>
      </c>
      <c r="D99" s="3"/>
      <c r="E99" s="3">
        <v>48199</v>
      </c>
      <c r="F99" s="3"/>
      <c r="G99" s="3">
        <v>46763</v>
      </c>
      <c r="H99" s="3"/>
      <c r="I99" s="3">
        <v>6354346</v>
      </c>
      <c r="J99" s="3"/>
      <c r="K99" s="3">
        <v>103166</v>
      </c>
      <c r="L99" s="3"/>
      <c r="M99" s="3">
        <f>42112+114788</f>
        <v>156900</v>
      </c>
      <c r="N99" s="3"/>
      <c r="O99" s="3">
        <v>5684189</v>
      </c>
      <c r="P99" s="3"/>
      <c r="Q99" s="3">
        <v>5643923</v>
      </c>
      <c r="R99" s="3"/>
      <c r="S99" s="3">
        <v>23258</v>
      </c>
      <c r="T99" s="3"/>
      <c r="U99" s="3">
        <v>2440753</v>
      </c>
      <c r="V99" s="3"/>
      <c r="W99" s="3">
        <v>1151639</v>
      </c>
      <c r="X99" s="3"/>
      <c r="Y99" s="3">
        <v>74677</v>
      </c>
      <c r="Z99" s="3"/>
      <c r="AA99" s="3">
        <v>997585</v>
      </c>
      <c r="AB99" s="3"/>
      <c r="AC99" s="3">
        <v>23452</v>
      </c>
      <c r="AD99" s="3"/>
      <c r="AE99" s="16" t="s">
        <v>372</v>
      </c>
      <c r="AG99" s="16" t="s">
        <v>189</v>
      </c>
      <c r="AH99" s="3"/>
      <c r="AI99" s="3">
        <v>232477</v>
      </c>
      <c r="AJ99" s="3"/>
      <c r="AK99" s="3">
        <v>0</v>
      </c>
      <c r="AL99" s="3"/>
      <c r="AM99" s="3">
        <v>32141</v>
      </c>
      <c r="AN99" s="3"/>
      <c r="AO99" s="3">
        <v>3324367</v>
      </c>
      <c r="AP99" s="3"/>
      <c r="AQ99" s="3">
        <v>0</v>
      </c>
      <c r="AR99" s="3"/>
      <c r="AS99" s="3">
        <f>1929137+10800</f>
        <v>1939937</v>
      </c>
      <c r="AT99" s="3"/>
      <c r="AU99" s="3">
        <v>0</v>
      </c>
      <c r="AV99" s="3"/>
      <c r="AW99" s="3">
        <v>947</v>
      </c>
      <c r="AX99" s="3"/>
      <c r="AY99" s="3">
        <v>307</v>
      </c>
      <c r="AZ99" s="3"/>
      <c r="BA99" s="3">
        <v>0</v>
      </c>
      <c r="BB99" s="3"/>
      <c r="BC99" s="17">
        <f t="shared" si="4"/>
        <v>28230827</v>
      </c>
      <c r="BD99" s="16" t="s">
        <v>372</v>
      </c>
      <c r="BF99" s="16" t="s">
        <v>189</v>
      </c>
      <c r="BG99" s="3"/>
      <c r="BH99" s="3">
        <v>2078450</v>
      </c>
      <c r="BI99" s="3"/>
      <c r="BJ99" s="3"/>
      <c r="BK99" s="3"/>
      <c r="BL99" s="3"/>
      <c r="BM99" s="3"/>
      <c r="BN99" s="3">
        <v>0</v>
      </c>
      <c r="BO99" s="3"/>
      <c r="BP99" s="17">
        <f t="shared" si="3"/>
        <v>30309277</v>
      </c>
      <c r="BQ99" s="3"/>
      <c r="BR99" s="17">
        <f>GovRev!AX99-BP99</f>
        <v>-1967018</v>
      </c>
      <c r="BS99" s="3"/>
      <c r="BT99" s="3">
        <v>6672728</v>
      </c>
      <c r="BU99" s="3"/>
      <c r="BV99" s="3">
        <v>0</v>
      </c>
      <c r="BW99" s="3"/>
      <c r="BX99" s="17">
        <f t="shared" si="7"/>
        <v>4705710</v>
      </c>
      <c r="BY99" s="17"/>
      <c r="BZ99" s="17">
        <f>-BX99+GovBS!AC99</f>
        <v>0</v>
      </c>
    </row>
    <row r="100" spans="1:78" s="16" customFormat="1" ht="12">
      <c r="A100" s="3" t="s">
        <v>159</v>
      </c>
      <c r="B100" s="3"/>
      <c r="C100" s="3" t="s">
        <v>160</v>
      </c>
      <c r="D100" s="3"/>
      <c r="E100" s="3">
        <v>137364</v>
      </c>
      <c r="F100" s="3"/>
      <c r="G100" s="3">
        <v>406745</v>
      </c>
      <c r="H100" s="3"/>
      <c r="I100" s="3">
        <v>3105396</v>
      </c>
      <c r="J100" s="3"/>
      <c r="K100" s="3">
        <v>25770</v>
      </c>
      <c r="L100" s="3"/>
      <c r="M100" s="3">
        <v>0</v>
      </c>
      <c r="N100" s="3"/>
      <c r="O100" s="3">
        <v>2777741</v>
      </c>
      <c r="P100" s="3"/>
      <c r="Q100" s="3">
        <v>2569858</v>
      </c>
      <c r="R100" s="3"/>
      <c r="S100" s="3">
        <v>28807</v>
      </c>
      <c r="T100" s="3"/>
      <c r="U100" s="3">
        <v>1455638</v>
      </c>
      <c r="V100" s="3"/>
      <c r="W100" s="3">
        <v>347868</v>
      </c>
      <c r="X100" s="3"/>
      <c r="Y100" s="3">
        <v>5851</v>
      </c>
      <c r="Z100" s="3"/>
      <c r="AA100" s="3">
        <v>27094</v>
      </c>
      <c r="AB100" s="3"/>
      <c r="AC100" s="3">
        <v>208654</v>
      </c>
      <c r="AD100" s="3"/>
      <c r="AE100" s="16" t="s">
        <v>159</v>
      </c>
      <c r="AG100" s="16" t="s">
        <v>160</v>
      </c>
      <c r="AH100" s="3"/>
      <c r="AI100" s="3">
        <v>153788</v>
      </c>
      <c r="AJ100" s="3"/>
      <c r="AK100" s="3">
        <v>0</v>
      </c>
      <c r="AL100" s="3"/>
      <c r="AM100" s="3">
        <v>61388</v>
      </c>
      <c r="AN100" s="3"/>
      <c r="AO100" s="3">
        <v>0</v>
      </c>
      <c r="AP100" s="3"/>
      <c r="AQ100" s="3">
        <v>282</v>
      </c>
      <c r="AR100" s="3"/>
      <c r="AS100" s="3">
        <v>0</v>
      </c>
      <c r="AT100" s="3"/>
      <c r="AU100" s="3">
        <v>0</v>
      </c>
      <c r="AV100" s="3"/>
      <c r="AW100" s="3">
        <v>19574</v>
      </c>
      <c r="AX100" s="3"/>
      <c r="AY100" s="3">
        <v>7984</v>
      </c>
      <c r="AZ100" s="3"/>
      <c r="BA100" s="3">
        <v>0</v>
      </c>
      <c r="BB100" s="3"/>
      <c r="BC100" s="17">
        <f t="shared" si="4"/>
        <v>11202438</v>
      </c>
      <c r="BD100" s="16" t="s">
        <v>159</v>
      </c>
      <c r="BF100" s="16" t="s">
        <v>160</v>
      </c>
      <c r="BG100" s="3"/>
      <c r="BH100" s="3">
        <v>0</v>
      </c>
      <c r="BI100" s="3"/>
      <c r="BJ100" s="3">
        <v>0</v>
      </c>
      <c r="BK100" s="3"/>
      <c r="BL100" s="3">
        <v>0</v>
      </c>
      <c r="BM100" s="3"/>
      <c r="BN100" s="3">
        <v>0</v>
      </c>
      <c r="BO100" s="3"/>
      <c r="BP100" s="17">
        <f t="shared" si="3"/>
        <v>11202438</v>
      </c>
      <c r="BQ100" s="3"/>
      <c r="BR100" s="17">
        <f>GovRev!AX100-BP100</f>
        <v>-166500</v>
      </c>
      <c r="BS100" s="3"/>
      <c r="BT100" s="3">
        <v>263537</v>
      </c>
      <c r="BU100" s="3"/>
      <c r="BV100" s="3">
        <v>0</v>
      </c>
      <c r="BW100" s="3"/>
      <c r="BX100" s="17">
        <f t="shared" si="7"/>
        <v>97037</v>
      </c>
      <c r="BY100" s="17"/>
      <c r="BZ100" s="17">
        <f>-BX100+GovBS!AC100</f>
        <v>0</v>
      </c>
    </row>
    <row r="101" spans="1:78" s="16" customFormat="1" ht="12.75" customHeight="1">
      <c r="A101" s="3" t="s">
        <v>190</v>
      </c>
      <c r="B101" s="3"/>
      <c r="C101" s="3" t="s">
        <v>191</v>
      </c>
      <c r="D101" s="3"/>
      <c r="E101" s="3">
        <v>48280</v>
      </c>
      <c r="F101" s="3"/>
      <c r="G101" s="3">
        <v>1724959</v>
      </c>
      <c r="H101" s="3"/>
      <c r="I101" s="3">
        <v>6000873</v>
      </c>
      <c r="J101" s="3"/>
      <c r="K101" s="3">
        <v>61394</v>
      </c>
      <c r="L101" s="3"/>
      <c r="M101" s="3">
        <v>0</v>
      </c>
      <c r="N101" s="3"/>
      <c r="O101" s="3">
        <v>5401777</v>
      </c>
      <c r="P101" s="3"/>
      <c r="Q101" s="3">
        <v>5580201</v>
      </c>
      <c r="R101" s="3"/>
      <c r="S101" s="3">
        <v>42703</v>
      </c>
      <c r="T101" s="3"/>
      <c r="U101" s="3">
        <v>985198</v>
      </c>
      <c r="V101" s="3"/>
      <c r="W101" s="3">
        <v>726370</v>
      </c>
      <c r="X101" s="3"/>
      <c r="Y101" s="3">
        <v>304647</v>
      </c>
      <c r="Z101" s="3"/>
      <c r="AA101" s="3">
        <v>388231</v>
      </c>
      <c r="AB101" s="3"/>
      <c r="AC101" s="3">
        <v>37178</v>
      </c>
      <c r="AD101" s="3"/>
      <c r="AE101" s="16" t="s">
        <v>190</v>
      </c>
      <c r="AG101" s="16" t="s">
        <v>191</v>
      </c>
      <c r="AH101" s="3"/>
      <c r="AI101" s="3">
        <v>1085608</v>
      </c>
      <c r="AJ101" s="3"/>
      <c r="AK101" s="3">
        <v>0</v>
      </c>
      <c r="AL101" s="3"/>
      <c r="AM101" s="3">
        <v>0</v>
      </c>
      <c r="AN101" s="3"/>
      <c r="AO101" s="3">
        <v>186145</v>
      </c>
      <c r="AP101" s="3"/>
      <c r="AQ101" s="3">
        <v>0</v>
      </c>
      <c r="AR101" s="3"/>
      <c r="AS101" s="3">
        <v>0</v>
      </c>
      <c r="AT101" s="3"/>
      <c r="AU101" s="3">
        <v>0</v>
      </c>
      <c r="AV101" s="3"/>
      <c r="AW101" s="3">
        <v>0</v>
      </c>
      <c r="AX101" s="3"/>
      <c r="AY101" s="3">
        <v>0</v>
      </c>
      <c r="AZ101" s="3"/>
      <c r="BA101" s="3">
        <v>0</v>
      </c>
      <c r="BB101" s="3"/>
      <c r="BC101" s="17">
        <f t="shared" si="4"/>
        <v>22525284</v>
      </c>
      <c r="BD101" s="16" t="s">
        <v>190</v>
      </c>
      <c r="BF101" s="16" t="s">
        <v>191</v>
      </c>
      <c r="BG101" s="3"/>
      <c r="BH101" s="3">
        <v>120000</v>
      </c>
      <c r="BI101" s="3"/>
      <c r="BJ101" s="3">
        <v>0</v>
      </c>
      <c r="BK101" s="3"/>
      <c r="BL101" s="3">
        <v>0</v>
      </c>
      <c r="BM101" s="3"/>
      <c r="BN101" s="3">
        <v>0</v>
      </c>
      <c r="BO101" s="3"/>
      <c r="BP101" s="17">
        <f t="shared" si="3"/>
        <v>22645284</v>
      </c>
      <c r="BQ101" s="3"/>
      <c r="BR101" s="17">
        <f>GovRev!AX101-BP101</f>
        <v>-2169240</v>
      </c>
      <c r="BS101" s="3"/>
      <c r="BT101" s="3">
        <v>4432659</v>
      </c>
      <c r="BU101" s="3"/>
      <c r="BV101" s="3">
        <v>0</v>
      </c>
      <c r="BW101" s="3"/>
      <c r="BX101" s="17">
        <f t="shared" si="7"/>
        <v>2263419</v>
      </c>
      <c r="BY101" s="17"/>
      <c r="BZ101" s="17">
        <f>-BX101+GovBS!AC101</f>
        <v>0</v>
      </c>
    </row>
    <row r="102" spans="1:78" s="16" customFormat="1" ht="12">
      <c r="A102" s="3" t="s">
        <v>192</v>
      </c>
      <c r="B102" s="3"/>
      <c r="C102" s="3" t="s">
        <v>193</v>
      </c>
      <c r="D102" s="3"/>
      <c r="E102" s="3">
        <v>48454</v>
      </c>
      <c r="F102" s="3"/>
      <c r="G102" s="3">
        <v>332425</v>
      </c>
      <c r="H102" s="3"/>
      <c r="I102" s="3">
        <v>457289</v>
      </c>
      <c r="J102" s="3"/>
      <c r="K102" s="3">
        <v>60081</v>
      </c>
      <c r="L102" s="3"/>
      <c r="M102" s="3">
        <f>230394+17473</f>
        <v>247867</v>
      </c>
      <c r="N102" s="3"/>
      <c r="O102" s="3">
        <v>444865</v>
      </c>
      <c r="P102" s="3"/>
      <c r="Q102" s="3">
        <v>3033450</v>
      </c>
      <c r="R102" s="3"/>
      <c r="S102" s="3">
        <v>38666</v>
      </c>
      <c r="T102" s="3"/>
      <c r="U102" s="3">
        <v>189957</v>
      </c>
      <c r="V102" s="3"/>
      <c r="W102" s="3">
        <v>251652</v>
      </c>
      <c r="X102" s="3"/>
      <c r="Y102" s="3">
        <v>263199</v>
      </c>
      <c r="Z102" s="3"/>
      <c r="AA102" s="3">
        <v>0</v>
      </c>
      <c r="AB102" s="3"/>
      <c r="AC102" s="3">
        <v>18044</v>
      </c>
      <c r="AD102" s="3"/>
      <c r="AE102" s="16" t="s">
        <v>192</v>
      </c>
      <c r="AG102" s="16" t="s">
        <v>193</v>
      </c>
      <c r="AH102" s="3"/>
      <c r="AI102" s="3">
        <v>300624</v>
      </c>
      <c r="AJ102" s="3"/>
      <c r="AK102" s="3">
        <v>0</v>
      </c>
      <c r="AL102" s="3"/>
      <c r="AM102" s="3">
        <v>0</v>
      </c>
      <c r="AN102" s="3"/>
      <c r="AO102" s="3">
        <v>0</v>
      </c>
      <c r="AP102" s="3"/>
      <c r="AQ102" s="3">
        <v>17706</v>
      </c>
      <c r="AR102" s="3"/>
      <c r="AS102" s="3">
        <v>0</v>
      </c>
      <c r="AT102" s="3"/>
      <c r="AU102" s="3">
        <v>0</v>
      </c>
      <c r="AV102" s="3"/>
      <c r="AW102" s="3">
        <v>0</v>
      </c>
      <c r="AX102" s="3"/>
      <c r="AY102" s="3">
        <v>0</v>
      </c>
      <c r="AZ102" s="3"/>
      <c r="BA102" s="3">
        <v>0</v>
      </c>
      <c r="BB102" s="3"/>
      <c r="BC102" s="17">
        <f t="shared" si="4"/>
        <v>5655825</v>
      </c>
      <c r="BD102" s="16" t="s">
        <v>192</v>
      </c>
      <c r="BF102" s="16" t="s">
        <v>193</v>
      </c>
      <c r="BG102" s="3"/>
      <c r="BH102" s="3">
        <v>0</v>
      </c>
      <c r="BI102" s="3"/>
      <c r="BJ102" s="3">
        <v>0</v>
      </c>
      <c r="BK102" s="3"/>
      <c r="BL102" s="3">
        <v>0</v>
      </c>
      <c r="BM102" s="3"/>
      <c r="BN102" s="3">
        <v>0</v>
      </c>
      <c r="BO102" s="3"/>
      <c r="BP102" s="17">
        <f t="shared" si="3"/>
        <v>5655825</v>
      </c>
      <c r="BQ102" s="3"/>
      <c r="BR102" s="17">
        <f>GovRev!AX102-BP102</f>
        <v>199121</v>
      </c>
      <c r="BS102" s="3"/>
      <c r="BT102" s="3">
        <v>2050473</v>
      </c>
      <c r="BU102" s="3"/>
      <c r="BV102" s="3">
        <v>0</v>
      </c>
      <c r="BW102" s="3"/>
      <c r="BX102" s="17">
        <f t="shared" si="7"/>
        <v>2249594</v>
      </c>
      <c r="BY102" s="17"/>
      <c r="BZ102" s="17">
        <f>-BX102+GovBS!AC102</f>
        <v>0</v>
      </c>
    </row>
    <row r="103" spans="1:78" s="16" customFormat="1" ht="12" hidden="1">
      <c r="A103" s="3" t="s">
        <v>348</v>
      </c>
      <c r="B103" s="3"/>
      <c r="C103" s="3" t="s">
        <v>195</v>
      </c>
      <c r="D103" s="3"/>
      <c r="E103" s="3">
        <v>48546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16" t="s">
        <v>194</v>
      </c>
      <c r="AG103" s="16" t="s">
        <v>195</v>
      </c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17">
        <f t="shared" si="4"/>
        <v>0</v>
      </c>
      <c r="BD103" s="16" t="s">
        <v>194</v>
      </c>
      <c r="BF103" s="16" t="s">
        <v>195</v>
      </c>
      <c r="BG103" s="3"/>
      <c r="BH103" s="3"/>
      <c r="BI103" s="3"/>
      <c r="BJ103" s="3"/>
      <c r="BK103" s="3"/>
      <c r="BL103" s="3"/>
      <c r="BM103" s="3"/>
      <c r="BN103" s="3"/>
      <c r="BO103" s="3"/>
      <c r="BP103" s="17">
        <f t="shared" si="3"/>
        <v>0</v>
      </c>
      <c r="BQ103" s="3"/>
      <c r="BR103" s="17">
        <f>GovRev!AX103-BP103</f>
        <v>0</v>
      </c>
      <c r="BS103" s="3"/>
      <c r="BT103" s="3"/>
      <c r="BU103" s="3"/>
      <c r="BV103" s="3"/>
      <c r="BW103" s="3"/>
      <c r="BX103" s="17">
        <f t="shared" si="7"/>
        <v>0</v>
      </c>
      <c r="BY103" s="17"/>
      <c r="BZ103" s="17">
        <f>-BX103+GovBS!AC103</f>
        <v>0</v>
      </c>
    </row>
    <row r="104" spans="1:78" s="16" customFormat="1" ht="12">
      <c r="A104" s="3" t="s">
        <v>196</v>
      </c>
      <c r="B104" s="3"/>
      <c r="C104" s="3" t="s">
        <v>197</v>
      </c>
      <c r="D104" s="3"/>
      <c r="E104" s="3">
        <v>48603</v>
      </c>
      <c r="F104" s="3"/>
      <c r="G104" s="3">
        <v>127066</v>
      </c>
      <c r="H104" s="3"/>
      <c r="I104" s="3">
        <v>4281760</v>
      </c>
      <c r="J104" s="3"/>
      <c r="K104" s="3">
        <v>0</v>
      </c>
      <c r="L104" s="3"/>
      <c r="M104" s="3">
        <v>0</v>
      </c>
      <c r="N104" s="3"/>
      <c r="O104" s="3">
        <v>2715177</v>
      </c>
      <c r="P104" s="3"/>
      <c r="Q104" s="3">
        <v>2431278</v>
      </c>
      <c r="R104" s="3"/>
      <c r="S104" s="3">
        <v>15904</v>
      </c>
      <c r="T104" s="3"/>
      <c r="U104" s="3">
        <v>1237724</v>
      </c>
      <c r="V104" s="3"/>
      <c r="W104" s="3">
        <v>214316</v>
      </c>
      <c r="X104" s="3"/>
      <c r="Y104" s="3">
        <v>0</v>
      </c>
      <c r="Z104" s="3"/>
      <c r="AA104" s="3">
        <v>64566</v>
      </c>
      <c r="AB104" s="3"/>
      <c r="AC104" s="3">
        <v>10537</v>
      </c>
      <c r="AD104" s="3"/>
      <c r="AE104" s="16" t="s">
        <v>196</v>
      </c>
      <c r="AG104" s="16" t="s">
        <v>197</v>
      </c>
      <c r="AH104" s="3"/>
      <c r="AI104" s="3">
        <v>408291</v>
      </c>
      <c r="AJ104" s="3"/>
      <c r="AK104" s="3">
        <v>0</v>
      </c>
      <c r="AL104" s="3"/>
      <c r="AM104" s="3">
        <v>0</v>
      </c>
      <c r="AN104" s="3"/>
      <c r="AO104" s="3">
        <v>0</v>
      </c>
      <c r="AP104" s="3"/>
      <c r="AQ104" s="3">
        <v>15959</v>
      </c>
      <c r="AR104" s="3"/>
      <c r="AS104" s="3">
        <v>5912</v>
      </c>
      <c r="AT104" s="3"/>
      <c r="AU104" s="3">
        <v>0</v>
      </c>
      <c r="AV104" s="3"/>
      <c r="AW104" s="3">
        <v>7695</v>
      </c>
      <c r="AX104" s="3"/>
      <c r="AY104" s="3">
        <v>367</v>
      </c>
      <c r="AZ104" s="3"/>
      <c r="BA104" s="3">
        <v>0</v>
      </c>
      <c r="BB104" s="3"/>
      <c r="BC104" s="17">
        <f t="shared" si="4"/>
        <v>11536552</v>
      </c>
      <c r="BD104" s="16" t="s">
        <v>196</v>
      </c>
      <c r="BF104" s="16" t="s">
        <v>197</v>
      </c>
      <c r="BG104" s="3"/>
      <c r="BH104" s="3">
        <v>0</v>
      </c>
      <c r="BI104" s="3"/>
      <c r="BJ104" s="3">
        <v>0</v>
      </c>
      <c r="BK104" s="3"/>
      <c r="BL104" s="3">
        <v>0</v>
      </c>
      <c r="BM104" s="3"/>
      <c r="BN104" s="3">
        <v>0</v>
      </c>
      <c r="BO104" s="3"/>
      <c r="BP104" s="17">
        <f t="shared" si="3"/>
        <v>11536552</v>
      </c>
      <c r="BQ104" s="3"/>
      <c r="BR104" s="17">
        <f>GovRev!AX104-BP104</f>
        <v>71080</v>
      </c>
      <c r="BS104" s="3"/>
      <c r="BT104" s="3">
        <v>1554887</v>
      </c>
      <c r="BU104" s="3"/>
      <c r="BV104" s="3">
        <v>0</v>
      </c>
      <c r="BW104" s="3"/>
      <c r="BX104" s="17">
        <f t="shared" si="7"/>
        <v>1625967</v>
      </c>
      <c r="BY104" s="17"/>
      <c r="BZ104" s="17">
        <f>-BX104+GovBS!AC104</f>
        <v>0</v>
      </c>
    </row>
    <row r="105" spans="1:78" s="16" customFormat="1" ht="12" hidden="1">
      <c r="A105" s="3" t="s">
        <v>347</v>
      </c>
      <c r="B105" s="3"/>
      <c r="C105" s="3" t="s">
        <v>212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 t="s">
        <v>347</v>
      </c>
      <c r="AF105" s="3"/>
      <c r="AG105" s="3" t="s">
        <v>212</v>
      </c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17">
        <f t="shared" si="4"/>
        <v>0</v>
      </c>
      <c r="BD105" s="3" t="s">
        <v>347</v>
      </c>
      <c r="BE105" s="3"/>
      <c r="BF105" s="3" t="s">
        <v>212</v>
      </c>
      <c r="BG105" s="3"/>
      <c r="BH105" s="3"/>
      <c r="BI105" s="3"/>
      <c r="BJ105" s="3"/>
      <c r="BK105" s="3"/>
      <c r="BL105" s="3"/>
      <c r="BM105" s="3"/>
      <c r="BN105" s="3"/>
      <c r="BO105" s="3"/>
      <c r="BP105" s="17">
        <f t="shared" si="3"/>
        <v>0</v>
      </c>
      <c r="BQ105" s="3"/>
      <c r="BR105" s="17">
        <f>GovRev!AX105-BP105</f>
        <v>0</v>
      </c>
      <c r="BS105" s="3"/>
      <c r="BT105" s="3"/>
      <c r="BU105" s="3"/>
      <c r="BV105" s="3"/>
      <c r="BW105" s="3"/>
      <c r="BX105" s="17">
        <f t="shared" si="7"/>
        <v>0</v>
      </c>
      <c r="BY105" s="17"/>
      <c r="BZ105" s="17">
        <f>-BX105+GovBS!AC105</f>
        <v>0</v>
      </c>
    </row>
    <row r="106" spans="1:78" s="16" customFormat="1" ht="12">
      <c r="A106" s="3" t="s">
        <v>198</v>
      </c>
      <c r="B106" s="3"/>
      <c r="C106" s="3" t="s">
        <v>199</v>
      </c>
      <c r="D106" s="3"/>
      <c r="E106" s="3">
        <v>48660</v>
      </c>
      <c r="F106" s="3"/>
      <c r="G106" s="3">
        <v>0</v>
      </c>
      <c r="H106" s="3"/>
      <c r="I106" s="3">
        <v>6313262</v>
      </c>
      <c r="J106" s="3"/>
      <c r="K106" s="3">
        <v>0</v>
      </c>
      <c r="L106" s="3"/>
      <c r="M106" s="3">
        <v>0</v>
      </c>
      <c r="N106" s="3"/>
      <c r="O106" s="3">
        <v>7858622</v>
      </c>
      <c r="P106" s="3"/>
      <c r="Q106" s="3">
        <v>9388485</v>
      </c>
      <c r="R106" s="3"/>
      <c r="S106" s="3">
        <v>78837</v>
      </c>
      <c r="T106" s="3"/>
      <c r="U106" s="3">
        <v>2034613</v>
      </c>
      <c r="V106" s="3"/>
      <c r="W106" s="3">
        <v>593578</v>
      </c>
      <c r="X106" s="3"/>
      <c r="Y106" s="3">
        <v>62558</v>
      </c>
      <c r="Z106" s="3"/>
      <c r="AA106" s="3">
        <v>1674621</v>
      </c>
      <c r="AB106" s="3"/>
      <c r="AC106" s="3">
        <v>1402429</v>
      </c>
      <c r="AD106" s="3"/>
      <c r="AE106" s="16" t="s">
        <v>198</v>
      </c>
      <c r="AG106" s="16" t="s">
        <v>199</v>
      </c>
      <c r="AH106" s="3"/>
      <c r="AI106" s="3">
        <v>1197985</v>
      </c>
      <c r="AJ106" s="3"/>
      <c r="AK106" s="3">
        <v>0</v>
      </c>
      <c r="AL106" s="3"/>
      <c r="AM106" s="3">
        <v>0</v>
      </c>
      <c r="AN106" s="3"/>
      <c r="AO106" s="3">
        <v>237586</v>
      </c>
      <c r="AP106" s="3"/>
      <c r="AQ106" s="3">
        <v>0</v>
      </c>
      <c r="AR106" s="3"/>
      <c r="AS106" s="3">
        <v>267849</v>
      </c>
      <c r="AT106" s="3"/>
      <c r="AU106" s="3">
        <v>0</v>
      </c>
      <c r="AV106" s="3"/>
      <c r="AW106" s="3">
        <v>199616</v>
      </c>
      <c r="AX106" s="3"/>
      <c r="AY106" s="3">
        <v>28049</v>
      </c>
      <c r="AZ106" s="3"/>
      <c r="BA106" s="3">
        <v>0</v>
      </c>
      <c r="BB106" s="3"/>
      <c r="BC106" s="17">
        <f t="shared" si="4"/>
        <v>31338090</v>
      </c>
      <c r="BD106" s="16" t="s">
        <v>198</v>
      </c>
      <c r="BF106" s="16" t="s">
        <v>199</v>
      </c>
      <c r="BG106" s="3"/>
      <c r="BH106" s="3">
        <v>68973</v>
      </c>
      <c r="BI106" s="3"/>
      <c r="BJ106" s="3">
        <v>0</v>
      </c>
      <c r="BK106" s="3"/>
      <c r="BL106" s="3">
        <v>0</v>
      </c>
      <c r="BM106" s="3"/>
      <c r="BN106" s="3">
        <v>0</v>
      </c>
      <c r="BO106" s="3"/>
      <c r="BP106" s="17">
        <f t="shared" si="3"/>
        <v>31407063</v>
      </c>
      <c r="BQ106" s="3"/>
      <c r="BR106" s="17">
        <f>GovRev!AX106-BP106</f>
        <v>-1014149</v>
      </c>
      <c r="BS106" s="3"/>
      <c r="BT106" s="3">
        <v>14724824</v>
      </c>
      <c r="BU106" s="3"/>
      <c r="BV106" s="3">
        <v>0</v>
      </c>
      <c r="BW106" s="3"/>
      <c r="BX106" s="17">
        <f t="shared" si="7"/>
        <v>13710675</v>
      </c>
      <c r="BY106" s="17"/>
      <c r="BZ106" s="17">
        <f>-BX106+GovBS!AC106</f>
        <v>0</v>
      </c>
    </row>
    <row r="107" spans="1:78" s="16" customFormat="1" ht="12">
      <c r="A107" s="3" t="s">
        <v>200</v>
      </c>
      <c r="B107" s="3"/>
      <c r="C107" s="3" t="s">
        <v>201</v>
      </c>
      <c r="D107" s="3"/>
      <c r="E107" s="3">
        <v>125252</v>
      </c>
      <c r="F107" s="3"/>
      <c r="G107" s="3">
        <v>3491889</v>
      </c>
      <c r="H107" s="3"/>
      <c r="I107" s="3">
        <v>0</v>
      </c>
      <c r="J107" s="3"/>
      <c r="K107" s="3">
        <v>0</v>
      </c>
      <c r="L107" s="3"/>
      <c r="M107" s="3">
        <v>0</v>
      </c>
      <c r="N107" s="3"/>
      <c r="O107" s="3">
        <v>1889157</v>
      </c>
      <c r="P107" s="3"/>
      <c r="Q107" s="3">
        <v>4242550</v>
      </c>
      <c r="R107" s="3"/>
      <c r="S107" s="3">
        <v>29980</v>
      </c>
      <c r="T107" s="3"/>
      <c r="U107" s="3">
        <v>732012</v>
      </c>
      <c r="V107" s="3"/>
      <c r="W107" s="3">
        <v>291355</v>
      </c>
      <c r="X107" s="3"/>
      <c r="Y107" s="3">
        <v>0</v>
      </c>
      <c r="Z107" s="3"/>
      <c r="AA107" s="3">
        <v>63264</v>
      </c>
      <c r="AB107" s="3"/>
      <c r="AC107" s="3">
        <v>12444</v>
      </c>
      <c r="AD107" s="3"/>
      <c r="AE107" s="16" t="s">
        <v>200</v>
      </c>
      <c r="AG107" s="16" t="s">
        <v>201</v>
      </c>
      <c r="AH107" s="3"/>
      <c r="AI107" s="3">
        <v>361478</v>
      </c>
      <c r="AJ107" s="3"/>
      <c r="AK107" s="3">
        <v>0</v>
      </c>
      <c r="AL107" s="3"/>
      <c r="AM107" s="3">
        <v>0</v>
      </c>
      <c r="AN107" s="3"/>
      <c r="AO107" s="3">
        <v>40511</v>
      </c>
      <c r="AP107" s="3"/>
      <c r="AQ107" s="3">
        <v>10331</v>
      </c>
      <c r="AR107" s="3"/>
      <c r="AS107" s="3">
        <v>1414</v>
      </c>
      <c r="AT107" s="3"/>
      <c r="AU107" s="3">
        <v>123377</v>
      </c>
      <c r="AV107" s="3"/>
      <c r="AW107" s="3">
        <v>0</v>
      </c>
      <c r="AX107" s="3"/>
      <c r="AY107" s="3">
        <v>0</v>
      </c>
      <c r="AZ107" s="3"/>
      <c r="BA107" s="3">
        <v>0</v>
      </c>
      <c r="BB107" s="3"/>
      <c r="BC107" s="17">
        <f t="shared" si="4"/>
        <v>11289762</v>
      </c>
      <c r="BD107" s="16" t="s">
        <v>200</v>
      </c>
      <c r="BF107" s="16" t="s">
        <v>201</v>
      </c>
      <c r="BG107" s="3"/>
      <c r="BH107" s="3">
        <v>0</v>
      </c>
      <c r="BI107" s="3"/>
      <c r="BJ107" s="3">
        <v>0</v>
      </c>
      <c r="BK107" s="3"/>
      <c r="BL107" s="3">
        <v>0</v>
      </c>
      <c r="BM107" s="3"/>
      <c r="BN107" s="3">
        <v>0</v>
      </c>
      <c r="BO107" s="3"/>
      <c r="BP107" s="17">
        <f t="shared" si="3"/>
        <v>11289762</v>
      </c>
      <c r="BQ107" s="3"/>
      <c r="BR107" s="17">
        <f>GovRev!AX107-BP107</f>
        <v>-344824</v>
      </c>
      <c r="BS107" s="3"/>
      <c r="BT107" s="3">
        <v>3247455</v>
      </c>
      <c r="BU107" s="3"/>
      <c r="BV107" s="3">
        <v>0</v>
      </c>
      <c r="BW107" s="3"/>
      <c r="BX107" s="17">
        <f t="shared" si="7"/>
        <v>2902631</v>
      </c>
      <c r="BY107" s="17"/>
      <c r="BZ107" s="17">
        <f>-BX107+GovBS!AC107</f>
        <v>0</v>
      </c>
    </row>
    <row r="108" spans="1:78" s="16" customFormat="1" ht="12">
      <c r="A108" s="3" t="s">
        <v>326</v>
      </c>
      <c r="B108" s="3"/>
      <c r="C108" s="3" t="s">
        <v>218</v>
      </c>
      <c r="D108" s="3"/>
      <c r="E108" s="3">
        <v>123257</v>
      </c>
      <c r="F108" s="3"/>
      <c r="G108" s="3">
        <v>1099075</v>
      </c>
      <c r="H108" s="3"/>
      <c r="I108" s="3">
        <v>5185674</v>
      </c>
      <c r="J108" s="3"/>
      <c r="K108" s="3">
        <v>0</v>
      </c>
      <c r="L108" s="3"/>
      <c r="M108" s="3">
        <v>0</v>
      </c>
      <c r="N108" s="3"/>
      <c r="O108" s="3">
        <v>3982167</v>
      </c>
      <c r="P108" s="3"/>
      <c r="Q108" s="3">
        <v>3326887</v>
      </c>
      <c r="R108" s="3"/>
      <c r="S108" s="3">
        <v>66963</v>
      </c>
      <c r="T108" s="3"/>
      <c r="U108" s="3">
        <v>1921621</v>
      </c>
      <c r="V108" s="3"/>
      <c r="W108" s="3">
        <v>585462</v>
      </c>
      <c r="X108" s="3"/>
      <c r="Y108" s="3">
        <v>113682</v>
      </c>
      <c r="Z108" s="3"/>
      <c r="AA108" s="3">
        <v>582386</v>
      </c>
      <c r="AB108" s="3"/>
      <c r="AC108" s="3">
        <v>146157</v>
      </c>
      <c r="AD108" s="3"/>
      <c r="AE108" s="16" t="s">
        <v>326</v>
      </c>
      <c r="AG108" s="16" t="s">
        <v>218</v>
      </c>
      <c r="AH108" s="3"/>
      <c r="AI108" s="3">
        <v>586479</v>
      </c>
      <c r="AJ108" s="3"/>
      <c r="AK108" s="3">
        <v>0</v>
      </c>
      <c r="AL108" s="3"/>
      <c r="AM108" s="3">
        <v>50877</v>
      </c>
      <c r="AN108" s="3"/>
      <c r="AO108" s="3">
        <v>86618</v>
      </c>
      <c r="AP108" s="3"/>
      <c r="AQ108" s="3">
        <v>0</v>
      </c>
      <c r="AR108" s="3"/>
      <c r="AS108" s="3">
        <v>0</v>
      </c>
      <c r="AT108" s="3"/>
      <c r="AU108" s="3">
        <v>0</v>
      </c>
      <c r="AV108" s="3"/>
      <c r="AW108" s="3">
        <v>0</v>
      </c>
      <c r="AX108" s="3"/>
      <c r="AY108" s="3">
        <v>0</v>
      </c>
      <c r="AZ108" s="3"/>
      <c r="BA108" s="3">
        <v>0</v>
      </c>
      <c r="BB108" s="3"/>
      <c r="BC108" s="17">
        <f t="shared" si="4"/>
        <v>17734048</v>
      </c>
      <c r="BD108" s="16" t="s">
        <v>326</v>
      </c>
      <c r="BF108" s="16" t="s">
        <v>218</v>
      </c>
      <c r="BG108" s="3"/>
      <c r="BH108" s="3">
        <v>7618</v>
      </c>
      <c r="BI108" s="3"/>
      <c r="BJ108" s="3"/>
      <c r="BK108" s="3"/>
      <c r="BL108" s="3"/>
      <c r="BM108" s="3"/>
      <c r="BN108" s="3">
        <v>0</v>
      </c>
      <c r="BO108" s="3"/>
      <c r="BP108" s="17">
        <f t="shared" si="3"/>
        <v>17741666</v>
      </c>
      <c r="BQ108" s="3"/>
      <c r="BR108" s="17">
        <f>GovRev!AX108-BP108</f>
        <v>667963</v>
      </c>
      <c r="BS108" s="3"/>
      <c r="BT108" s="3">
        <v>691795</v>
      </c>
      <c r="BU108" s="3"/>
      <c r="BV108" s="3">
        <v>0</v>
      </c>
      <c r="BW108" s="3"/>
      <c r="BX108" s="17">
        <f t="shared" si="7"/>
        <v>1359758</v>
      </c>
      <c r="BY108" s="17"/>
      <c r="BZ108" s="17">
        <f>-BX108+GovBS!AC108</f>
        <v>0</v>
      </c>
    </row>
    <row r="109" spans="1:78" s="16" customFormat="1" ht="12">
      <c r="A109" s="3" t="s">
        <v>373</v>
      </c>
      <c r="B109" s="3"/>
      <c r="C109" s="3" t="s">
        <v>172</v>
      </c>
      <c r="D109" s="3"/>
      <c r="E109" s="3"/>
      <c r="F109" s="3"/>
      <c r="G109" s="3">
        <v>431989</v>
      </c>
      <c r="H109" s="3"/>
      <c r="I109" s="3">
        <v>5472707</v>
      </c>
      <c r="J109" s="3"/>
      <c r="K109" s="3">
        <v>0</v>
      </c>
      <c r="L109" s="3"/>
      <c r="M109" s="3">
        <v>0</v>
      </c>
      <c r="N109" s="3"/>
      <c r="O109" s="3">
        <v>5077639</v>
      </c>
      <c r="P109" s="3"/>
      <c r="Q109" s="3">
        <v>7040962</v>
      </c>
      <c r="R109" s="3"/>
      <c r="S109" s="3">
        <v>92418</v>
      </c>
      <c r="T109" s="3"/>
      <c r="U109" s="3">
        <v>675555</v>
      </c>
      <c r="V109" s="3"/>
      <c r="W109" s="3">
        <v>356730</v>
      </c>
      <c r="X109" s="3"/>
      <c r="Y109" s="3">
        <v>184285</v>
      </c>
      <c r="Z109" s="3"/>
      <c r="AA109" s="3">
        <v>347971</v>
      </c>
      <c r="AB109" s="3"/>
      <c r="AC109" s="3">
        <v>0</v>
      </c>
      <c r="AD109" s="3"/>
      <c r="AE109" s="16" t="s">
        <v>373</v>
      </c>
      <c r="AG109" s="16" t="s">
        <v>172</v>
      </c>
      <c r="AH109" s="3"/>
      <c r="AI109" s="3">
        <v>64595</v>
      </c>
      <c r="AJ109" s="3"/>
      <c r="AK109" s="3">
        <v>0</v>
      </c>
      <c r="AL109" s="3"/>
      <c r="AM109" s="3">
        <v>0</v>
      </c>
      <c r="AN109" s="3"/>
      <c r="AO109" s="3">
        <v>204423</v>
      </c>
      <c r="AP109" s="3"/>
      <c r="AQ109" s="3">
        <v>5086</v>
      </c>
      <c r="AR109" s="3"/>
      <c r="AS109" s="3">
        <v>140765</v>
      </c>
      <c r="AT109" s="3"/>
      <c r="AU109" s="3">
        <v>0</v>
      </c>
      <c r="AV109" s="3"/>
      <c r="AW109" s="3">
        <v>0</v>
      </c>
      <c r="AX109" s="3"/>
      <c r="AY109" s="3">
        <v>0</v>
      </c>
      <c r="AZ109" s="3"/>
      <c r="BA109" s="3">
        <v>0</v>
      </c>
      <c r="BB109" s="3"/>
      <c r="BC109" s="17">
        <f t="shared" si="4"/>
        <v>20095125</v>
      </c>
      <c r="BD109" s="16" t="s">
        <v>373</v>
      </c>
      <c r="BF109" s="16" t="s">
        <v>172</v>
      </c>
      <c r="BG109" s="3"/>
      <c r="BH109" s="3">
        <v>5746</v>
      </c>
      <c r="BI109" s="3"/>
      <c r="BJ109" s="3"/>
      <c r="BK109" s="3"/>
      <c r="BL109" s="3"/>
      <c r="BM109" s="3"/>
      <c r="BN109" s="3">
        <v>0</v>
      </c>
      <c r="BO109" s="3"/>
      <c r="BP109" s="17">
        <f t="shared" ref="BP109" si="8">+BC109+BH109+BJ109+BN109+BL109</f>
        <v>20100871</v>
      </c>
      <c r="BQ109" s="3"/>
      <c r="BR109" s="17">
        <f>GovRev!AX109-BP109</f>
        <v>321282</v>
      </c>
      <c r="BS109" s="3"/>
      <c r="BT109" s="3">
        <v>5239396</v>
      </c>
      <c r="BU109" s="3"/>
      <c r="BV109" s="3">
        <v>0</v>
      </c>
      <c r="BW109" s="3"/>
      <c r="BX109" s="17">
        <f t="shared" ref="BX109" si="9">+BT109+BR109+BV109</f>
        <v>5560678</v>
      </c>
      <c r="BY109" s="17"/>
      <c r="BZ109" s="17">
        <f>-BX109+GovBS!AC109</f>
        <v>0</v>
      </c>
    </row>
    <row r="110" spans="1:78" s="16" customFormat="1" ht="12">
      <c r="A110" s="3" t="s">
        <v>176</v>
      </c>
      <c r="B110" s="3"/>
      <c r="C110" s="3" t="s">
        <v>242</v>
      </c>
      <c r="D110" s="3"/>
      <c r="E110" s="3">
        <v>124297</v>
      </c>
      <c r="F110" s="3"/>
      <c r="G110" s="3">
        <v>989405</v>
      </c>
      <c r="H110" s="3"/>
      <c r="I110" s="3">
        <v>5571596</v>
      </c>
      <c r="J110" s="3"/>
      <c r="K110" s="3">
        <v>0</v>
      </c>
      <c r="L110" s="3"/>
      <c r="M110" s="3">
        <v>0</v>
      </c>
      <c r="N110" s="3"/>
      <c r="O110" s="3">
        <v>4785264</v>
      </c>
      <c r="P110" s="3"/>
      <c r="Q110" s="3">
        <v>7327097</v>
      </c>
      <c r="R110" s="3"/>
      <c r="S110" s="3">
        <v>91003</v>
      </c>
      <c r="T110" s="3"/>
      <c r="U110" s="3">
        <v>672529</v>
      </c>
      <c r="V110" s="3"/>
      <c r="W110" s="3">
        <v>445434</v>
      </c>
      <c r="X110" s="3"/>
      <c r="Y110" s="3">
        <v>73651</v>
      </c>
      <c r="Z110" s="3"/>
      <c r="AA110" s="3">
        <v>631160</v>
      </c>
      <c r="AB110" s="3"/>
      <c r="AC110" s="3">
        <v>165779</v>
      </c>
      <c r="AD110" s="3"/>
      <c r="AE110" s="16" t="s">
        <v>176</v>
      </c>
      <c r="AG110" s="3" t="s">
        <v>242</v>
      </c>
      <c r="AH110" s="3"/>
      <c r="AI110" s="3">
        <v>274676</v>
      </c>
      <c r="AJ110" s="3"/>
      <c r="AK110" s="3">
        <v>0</v>
      </c>
      <c r="AL110" s="3"/>
      <c r="AM110" s="3">
        <v>0</v>
      </c>
      <c r="AN110" s="3"/>
      <c r="AO110" s="3">
        <v>50309</v>
      </c>
      <c r="AP110" s="3"/>
      <c r="AQ110" s="3">
        <v>0</v>
      </c>
      <c r="AR110" s="3"/>
      <c r="AS110" s="3">
        <v>44149</v>
      </c>
      <c r="AT110" s="3"/>
      <c r="AU110" s="3">
        <v>4753792</v>
      </c>
      <c r="AV110" s="3"/>
      <c r="AW110" s="3">
        <v>13915</v>
      </c>
      <c r="AX110" s="3"/>
      <c r="AY110" s="3">
        <v>1108</v>
      </c>
      <c r="AZ110" s="3"/>
      <c r="BA110" s="3">
        <v>0</v>
      </c>
      <c r="BB110" s="3"/>
      <c r="BC110" s="17">
        <f t="shared" si="4"/>
        <v>25890867</v>
      </c>
      <c r="BD110" s="16" t="s">
        <v>176</v>
      </c>
      <c r="BF110" s="3" t="s">
        <v>242</v>
      </c>
      <c r="BG110" s="3"/>
      <c r="BH110" s="3">
        <v>58962</v>
      </c>
      <c r="BI110" s="3"/>
      <c r="BJ110" s="3"/>
      <c r="BK110" s="3"/>
      <c r="BL110" s="3"/>
      <c r="BM110" s="3"/>
      <c r="BN110" s="3">
        <v>0</v>
      </c>
      <c r="BO110" s="3"/>
      <c r="BP110" s="17">
        <f t="shared" si="3"/>
        <v>25949829</v>
      </c>
      <c r="BQ110" s="3"/>
      <c r="BR110" s="17">
        <f>GovRev!AX110-BP110</f>
        <v>-500602</v>
      </c>
      <c r="BS110" s="3"/>
      <c r="BT110" s="3">
        <v>6552505</v>
      </c>
      <c r="BU110" s="3"/>
      <c r="BV110" s="3">
        <v>0</v>
      </c>
      <c r="BW110" s="3"/>
      <c r="BX110" s="17">
        <f t="shared" si="7"/>
        <v>6051903</v>
      </c>
      <c r="BY110" s="17"/>
      <c r="BZ110" s="17">
        <f>-BX110+GovBS!AC110</f>
        <v>0</v>
      </c>
    </row>
    <row r="111" spans="1:78" s="16" customFormat="1" ht="12">
      <c r="A111" s="3" t="s">
        <v>315</v>
      </c>
      <c r="B111" s="3"/>
      <c r="C111" s="3" t="s">
        <v>320</v>
      </c>
      <c r="D111" s="3"/>
      <c r="E111" s="3">
        <v>123521</v>
      </c>
      <c r="F111" s="3"/>
      <c r="G111" s="3">
        <v>231739</v>
      </c>
      <c r="H111" s="3"/>
      <c r="I111" s="3">
        <v>2220000</v>
      </c>
      <c r="J111" s="3"/>
      <c r="K111" s="3">
        <v>0</v>
      </c>
      <c r="L111" s="3"/>
      <c r="M111" s="3">
        <f>40840+1830</f>
        <v>42670</v>
      </c>
      <c r="N111" s="3"/>
      <c r="O111" s="3">
        <v>1908529</v>
      </c>
      <c r="P111" s="3"/>
      <c r="Q111" s="3">
        <v>2477017</v>
      </c>
      <c r="R111" s="3"/>
      <c r="S111" s="3">
        <v>36933</v>
      </c>
      <c r="T111" s="3"/>
      <c r="U111" s="3">
        <v>865228</v>
      </c>
      <c r="V111" s="3"/>
      <c r="W111" s="3">
        <v>269160</v>
      </c>
      <c r="X111" s="3"/>
      <c r="Y111" s="3">
        <v>0</v>
      </c>
      <c r="Z111" s="3"/>
      <c r="AA111" s="3">
        <v>89694</v>
      </c>
      <c r="AB111" s="3"/>
      <c r="AC111" s="3">
        <v>12806</v>
      </c>
      <c r="AD111" s="3"/>
      <c r="AE111" s="16" t="s">
        <v>315</v>
      </c>
      <c r="AG111" s="3" t="s">
        <v>320</v>
      </c>
      <c r="AH111" s="3"/>
      <c r="AI111" s="3">
        <v>10833</v>
      </c>
      <c r="AJ111" s="3"/>
      <c r="AK111" s="3">
        <v>0</v>
      </c>
      <c r="AL111" s="3"/>
      <c r="AM111" s="3">
        <v>0</v>
      </c>
      <c r="AN111" s="3"/>
      <c r="AO111" s="3">
        <v>3649</v>
      </c>
      <c r="AP111" s="3"/>
      <c r="AQ111" s="3">
        <v>53439</v>
      </c>
      <c r="AR111" s="3"/>
      <c r="AS111" s="3">
        <v>18352</v>
      </c>
      <c r="AT111" s="3"/>
      <c r="AU111" s="3">
        <v>211115</v>
      </c>
      <c r="AV111" s="3"/>
      <c r="AW111" s="3">
        <v>18949</v>
      </c>
      <c r="AX111" s="3"/>
      <c r="AY111" s="3">
        <v>16055</v>
      </c>
      <c r="AZ111" s="3"/>
      <c r="BA111" s="3">
        <v>0</v>
      </c>
      <c r="BB111" s="3"/>
      <c r="BC111" s="17">
        <f t="shared" si="4"/>
        <v>8486168</v>
      </c>
      <c r="BD111" s="16" t="s">
        <v>315</v>
      </c>
      <c r="BF111" s="3" t="s">
        <v>320</v>
      </c>
      <c r="BG111" s="3"/>
      <c r="BH111" s="3">
        <v>48855</v>
      </c>
      <c r="BI111" s="3"/>
      <c r="BJ111" s="3"/>
      <c r="BK111" s="3"/>
      <c r="BL111" s="3"/>
      <c r="BM111" s="3"/>
      <c r="BN111" s="3">
        <v>0</v>
      </c>
      <c r="BO111" s="3"/>
      <c r="BP111" s="17">
        <f t="shared" si="3"/>
        <v>8535023</v>
      </c>
      <c r="BQ111" s="3"/>
      <c r="BR111" s="17">
        <f>GovRev!AX111-BP111</f>
        <v>367436</v>
      </c>
      <c r="BS111" s="3"/>
      <c r="BT111" s="3">
        <v>755486</v>
      </c>
      <c r="BU111" s="3"/>
      <c r="BV111" s="3">
        <v>0</v>
      </c>
      <c r="BW111" s="3"/>
      <c r="BX111" s="17">
        <f t="shared" si="7"/>
        <v>1122922</v>
      </c>
      <c r="BY111" s="17"/>
      <c r="BZ111" s="17">
        <f>-BX111+GovBS!AC111</f>
        <v>0</v>
      </c>
    </row>
    <row r="112" spans="1:78" s="16" customFormat="1" ht="12">
      <c r="A112" s="3" t="s">
        <v>202</v>
      </c>
      <c r="B112" s="3"/>
      <c r="C112" s="3" t="s">
        <v>203</v>
      </c>
      <c r="D112" s="3"/>
      <c r="E112" s="3">
        <v>125674</v>
      </c>
      <c r="F112" s="3"/>
      <c r="G112" s="3">
        <v>828589</v>
      </c>
      <c r="H112" s="3"/>
      <c r="I112" s="3">
        <v>912034</v>
      </c>
      <c r="J112" s="3"/>
      <c r="K112" s="3">
        <v>0</v>
      </c>
      <c r="L112" s="3"/>
      <c r="M112" s="3">
        <f>31007+156067</f>
        <v>187074</v>
      </c>
      <c r="N112" s="3"/>
      <c r="O112" s="3">
        <v>1147748</v>
      </c>
      <c r="P112" s="3"/>
      <c r="Q112" s="3">
        <v>1813234</v>
      </c>
      <c r="R112" s="3"/>
      <c r="S112" s="3">
        <v>48752</v>
      </c>
      <c r="T112" s="3"/>
      <c r="U112" s="3">
        <v>517974</v>
      </c>
      <c r="V112" s="3"/>
      <c r="W112" s="3">
        <v>233592</v>
      </c>
      <c r="X112" s="3"/>
      <c r="Y112" s="3">
        <v>0</v>
      </c>
      <c r="Z112" s="3"/>
      <c r="AA112" s="3">
        <v>133306</v>
      </c>
      <c r="AB112" s="3"/>
      <c r="AC112" s="3">
        <v>25409</v>
      </c>
      <c r="AD112" s="3"/>
      <c r="AE112" s="16" t="s">
        <v>202</v>
      </c>
      <c r="AG112" s="16" t="s">
        <v>203</v>
      </c>
      <c r="AH112" s="3"/>
      <c r="AI112" s="3">
        <v>132308</v>
      </c>
      <c r="AJ112" s="3"/>
      <c r="AK112" s="3">
        <v>0</v>
      </c>
      <c r="AL112" s="3"/>
      <c r="AM112" s="3">
        <v>0</v>
      </c>
      <c r="AN112" s="3"/>
      <c r="AO112" s="3">
        <v>61145</v>
      </c>
      <c r="AP112" s="3"/>
      <c r="AQ112" s="3">
        <v>2398</v>
      </c>
      <c r="AR112" s="3"/>
      <c r="AS112" s="3">
        <v>2764</v>
      </c>
      <c r="AT112" s="3"/>
      <c r="AU112" s="3">
        <v>0</v>
      </c>
      <c r="AV112" s="3"/>
      <c r="AW112" s="3">
        <v>12180</v>
      </c>
      <c r="AX112" s="3"/>
      <c r="AY112" s="3">
        <v>3863</v>
      </c>
      <c r="AZ112" s="3"/>
      <c r="BA112" s="3">
        <v>0</v>
      </c>
      <c r="BB112" s="3"/>
      <c r="BC112" s="17">
        <f t="shared" si="4"/>
        <v>6062370</v>
      </c>
      <c r="BD112" s="16" t="s">
        <v>202</v>
      </c>
      <c r="BF112" s="16" t="s">
        <v>203</v>
      </c>
      <c r="BG112" s="3"/>
      <c r="BH112" s="3">
        <v>0</v>
      </c>
      <c r="BI112" s="3"/>
      <c r="BJ112" s="3">
        <v>0</v>
      </c>
      <c r="BK112" s="3"/>
      <c r="BL112" s="3">
        <v>0</v>
      </c>
      <c r="BM112" s="3"/>
      <c r="BN112" s="3">
        <v>0</v>
      </c>
      <c r="BO112" s="3"/>
      <c r="BP112" s="17">
        <f t="shared" si="3"/>
        <v>6062370</v>
      </c>
      <c r="BQ112" s="3"/>
      <c r="BR112" s="17">
        <f>GovRev!AX112-BP112</f>
        <v>363809</v>
      </c>
      <c r="BS112" s="3"/>
      <c r="BT112" s="3">
        <v>-302313</v>
      </c>
      <c r="BU112" s="3"/>
      <c r="BV112" s="3">
        <v>0</v>
      </c>
      <c r="BW112" s="3"/>
      <c r="BX112" s="17">
        <f t="shared" si="7"/>
        <v>61496</v>
      </c>
      <c r="BY112" s="17"/>
      <c r="BZ112" s="17">
        <f>-BX112+GovBS!AC112</f>
        <v>0</v>
      </c>
    </row>
    <row r="113" spans="1:78" s="16" customFormat="1" ht="12">
      <c r="A113" s="3" t="s">
        <v>204</v>
      </c>
      <c r="B113" s="3"/>
      <c r="C113" s="3" t="s">
        <v>205</v>
      </c>
      <c r="D113" s="3"/>
      <c r="E113" s="3">
        <v>49072</v>
      </c>
      <c r="F113" s="3"/>
      <c r="G113" s="3">
        <v>182296</v>
      </c>
      <c r="H113" s="3"/>
      <c r="I113" s="3">
        <v>147403</v>
      </c>
      <c r="J113" s="3"/>
      <c r="K113" s="3">
        <v>0</v>
      </c>
      <c r="L113" s="3"/>
      <c r="M113" s="3">
        <f>52004+56964</f>
        <v>108968</v>
      </c>
      <c r="N113" s="3"/>
      <c r="O113" s="3">
        <v>1945677</v>
      </c>
      <c r="P113" s="3"/>
      <c r="Q113" s="3">
        <v>534703</v>
      </c>
      <c r="R113" s="3"/>
      <c r="S113" s="3">
        <v>48711</v>
      </c>
      <c r="T113" s="3"/>
      <c r="U113" s="3">
        <v>244808</v>
      </c>
      <c r="V113" s="3"/>
      <c r="W113" s="3">
        <v>140009</v>
      </c>
      <c r="X113" s="3"/>
      <c r="Y113" s="3">
        <v>23050</v>
      </c>
      <c r="Z113" s="3"/>
      <c r="AA113" s="3">
        <v>51814</v>
      </c>
      <c r="AB113" s="3"/>
      <c r="AC113" s="3">
        <v>100932</v>
      </c>
      <c r="AD113" s="3"/>
      <c r="AE113" s="16" t="s">
        <v>204</v>
      </c>
      <c r="AG113" s="16" t="s">
        <v>205</v>
      </c>
      <c r="AH113" s="3"/>
      <c r="AI113" s="3">
        <v>159202</v>
      </c>
      <c r="AJ113" s="3"/>
      <c r="AK113" s="3">
        <v>0</v>
      </c>
      <c r="AL113" s="3"/>
      <c r="AM113" s="3">
        <v>0</v>
      </c>
      <c r="AN113" s="3"/>
      <c r="AO113" s="3">
        <v>0</v>
      </c>
      <c r="AP113" s="3"/>
      <c r="AQ113" s="3">
        <v>0</v>
      </c>
      <c r="AR113" s="3"/>
      <c r="AS113" s="3">
        <v>0</v>
      </c>
      <c r="AT113" s="3"/>
      <c r="AU113" s="3">
        <v>0</v>
      </c>
      <c r="AV113" s="3"/>
      <c r="AW113" s="3">
        <v>0</v>
      </c>
      <c r="AX113" s="3"/>
      <c r="AY113" s="3">
        <v>0</v>
      </c>
      <c r="AZ113" s="3"/>
      <c r="BA113" s="3">
        <v>0</v>
      </c>
      <c r="BB113" s="3"/>
      <c r="BC113" s="17">
        <f t="shared" si="4"/>
        <v>3687573</v>
      </c>
      <c r="BD113" s="16" t="s">
        <v>204</v>
      </c>
      <c r="BF113" s="16" t="s">
        <v>205</v>
      </c>
      <c r="BG113" s="3"/>
      <c r="BH113" s="3">
        <v>40000</v>
      </c>
      <c r="BI113" s="3"/>
      <c r="BJ113" s="3">
        <v>0</v>
      </c>
      <c r="BK113" s="3"/>
      <c r="BL113" s="3">
        <v>0</v>
      </c>
      <c r="BM113" s="3"/>
      <c r="BN113" s="3">
        <v>0</v>
      </c>
      <c r="BO113" s="3"/>
      <c r="BP113" s="17">
        <f t="shared" ref="BP113:BP130" si="10">+BC113+BH113+BJ113+BN113+BL113</f>
        <v>3727573</v>
      </c>
      <c r="BQ113" s="3"/>
      <c r="BR113" s="17">
        <f>GovRev!AX113-BP113</f>
        <v>-157279</v>
      </c>
      <c r="BS113" s="3"/>
      <c r="BT113" s="3">
        <v>574223</v>
      </c>
      <c r="BU113" s="3"/>
      <c r="BV113" s="3">
        <v>0</v>
      </c>
      <c r="BW113" s="3"/>
      <c r="BX113" s="17">
        <f t="shared" si="7"/>
        <v>416944</v>
      </c>
      <c r="BY113" s="17"/>
      <c r="BZ113" s="17">
        <f>-BX113+GovBS!AC113</f>
        <v>0</v>
      </c>
    </row>
    <row r="114" spans="1:78" s="16" customFormat="1" ht="12">
      <c r="A114" s="3" t="s">
        <v>206</v>
      </c>
      <c r="B114" s="3"/>
      <c r="C114" s="3" t="s">
        <v>207</v>
      </c>
      <c r="D114" s="3"/>
      <c r="E114" s="3">
        <v>49163</v>
      </c>
      <c r="F114" s="3"/>
      <c r="G114" s="3">
        <v>112670</v>
      </c>
      <c r="H114" s="3"/>
      <c r="I114" s="3">
        <v>3493565</v>
      </c>
      <c r="J114" s="3"/>
      <c r="K114" s="3">
        <v>0</v>
      </c>
      <c r="L114" s="3"/>
      <c r="M114" s="3">
        <v>0</v>
      </c>
      <c r="N114" s="3"/>
      <c r="O114" s="3">
        <v>1513716</v>
      </c>
      <c r="P114" s="3"/>
      <c r="Q114" s="3">
        <v>2423445</v>
      </c>
      <c r="R114" s="3"/>
      <c r="S114" s="3">
        <v>87199</v>
      </c>
      <c r="T114" s="3"/>
      <c r="U114" s="3">
        <v>614231</v>
      </c>
      <c r="V114" s="3"/>
      <c r="W114" s="3">
        <v>237184</v>
      </c>
      <c r="X114" s="3"/>
      <c r="Y114" s="3">
        <v>86031</v>
      </c>
      <c r="Z114" s="3"/>
      <c r="AA114" s="3">
        <v>59210</v>
      </c>
      <c r="AB114" s="3"/>
      <c r="AC114" s="3">
        <v>9909</v>
      </c>
      <c r="AD114" s="3"/>
      <c r="AE114" s="16" t="s">
        <v>206</v>
      </c>
      <c r="AG114" s="16" t="s">
        <v>207</v>
      </c>
      <c r="AH114" s="3"/>
      <c r="AI114" s="3">
        <v>212</v>
      </c>
      <c r="AJ114" s="3"/>
      <c r="AK114" s="3">
        <v>0</v>
      </c>
      <c r="AL114" s="3"/>
      <c r="AM114" s="3">
        <v>129582</v>
      </c>
      <c r="AN114" s="3"/>
      <c r="AO114" s="3">
        <v>0</v>
      </c>
      <c r="AP114" s="3"/>
      <c r="AQ114" s="3">
        <v>7969</v>
      </c>
      <c r="AR114" s="3"/>
      <c r="AS114" s="3">
        <v>0</v>
      </c>
      <c r="AT114" s="3"/>
      <c r="AU114" s="3">
        <v>0</v>
      </c>
      <c r="AV114" s="3"/>
      <c r="AW114" s="3">
        <v>10274</v>
      </c>
      <c r="AX114" s="3"/>
      <c r="AY114" s="3">
        <v>776</v>
      </c>
      <c r="AZ114" s="3"/>
      <c r="BA114" s="3">
        <v>0</v>
      </c>
      <c r="BB114" s="3"/>
      <c r="BC114" s="17">
        <f t="shared" si="4"/>
        <v>8785973</v>
      </c>
      <c r="BD114" s="16" t="s">
        <v>206</v>
      </c>
      <c r="BF114" s="16" t="s">
        <v>207</v>
      </c>
      <c r="BG114" s="3"/>
      <c r="BH114" s="3">
        <v>0</v>
      </c>
      <c r="BI114" s="3"/>
      <c r="BJ114" s="3">
        <v>0</v>
      </c>
      <c r="BK114" s="3"/>
      <c r="BL114" s="3">
        <v>0</v>
      </c>
      <c r="BM114" s="3"/>
      <c r="BN114" s="3">
        <v>0</v>
      </c>
      <c r="BO114" s="3"/>
      <c r="BP114" s="17">
        <f t="shared" si="10"/>
        <v>8785973</v>
      </c>
      <c r="BQ114" s="3"/>
      <c r="BR114" s="17">
        <f>GovRev!AX114-BP114</f>
        <v>-182072</v>
      </c>
      <c r="BS114" s="3"/>
      <c r="BT114" s="3">
        <v>359822</v>
      </c>
      <c r="BU114" s="3"/>
      <c r="BV114" s="3">
        <v>0</v>
      </c>
      <c r="BW114" s="3"/>
      <c r="BX114" s="17">
        <f t="shared" si="7"/>
        <v>177750</v>
      </c>
      <c r="BY114" s="17"/>
      <c r="BZ114" s="17">
        <f>-BX114+GovBS!AC114</f>
        <v>0</v>
      </c>
    </row>
    <row r="115" spans="1:78" s="16" customFormat="1" ht="12" hidden="1">
      <c r="A115" s="3" t="s">
        <v>349</v>
      </c>
      <c r="B115" s="3"/>
      <c r="C115" s="3" t="s">
        <v>209</v>
      </c>
      <c r="D115" s="3"/>
      <c r="E115" s="3">
        <v>49254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16" t="s">
        <v>208</v>
      </c>
      <c r="AG115" s="16" t="s">
        <v>209</v>
      </c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17">
        <f t="shared" si="4"/>
        <v>0</v>
      </c>
      <c r="BD115" s="16" t="s">
        <v>208</v>
      </c>
      <c r="BF115" s="16" t="s">
        <v>209</v>
      </c>
      <c r="BG115" s="3"/>
      <c r="BH115" s="3"/>
      <c r="BI115" s="3"/>
      <c r="BJ115" s="3"/>
      <c r="BK115" s="3"/>
      <c r="BL115" s="3"/>
      <c r="BM115" s="3"/>
      <c r="BN115" s="3"/>
      <c r="BO115" s="3"/>
      <c r="BP115" s="17">
        <f t="shared" si="10"/>
        <v>0</v>
      </c>
      <c r="BQ115" s="3"/>
      <c r="BR115" s="17">
        <f>GovRev!AX115-BP115</f>
        <v>0</v>
      </c>
      <c r="BS115" s="3"/>
      <c r="BT115" s="3"/>
      <c r="BU115" s="3"/>
      <c r="BV115" s="3"/>
      <c r="BW115" s="3"/>
      <c r="BX115" s="17">
        <f t="shared" si="7"/>
        <v>0</v>
      </c>
      <c r="BY115" s="17"/>
      <c r="BZ115" s="17">
        <f>-BX115+GovBS!AC115</f>
        <v>0</v>
      </c>
    </row>
    <row r="116" spans="1:78" s="16" customFormat="1" ht="12">
      <c r="A116" s="3" t="s">
        <v>210</v>
      </c>
      <c r="B116" s="3"/>
      <c r="C116" s="3" t="s">
        <v>211</v>
      </c>
      <c r="D116" s="3"/>
      <c r="E116" s="3">
        <v>49304</v>
      </c>
      <c r="F116" s="3"/>
      <c r="G116" s="3">
        <v>393947</v>
      </c>
      <c r="H116" s="3"/>
      <c r="I116" s="3">
        <v>890678</v>
      </c>
      <c r="J116" s="3"/>
      <c r="K116" s="3">
        <v>0</v>
      </c>
      <c r="L116" s="3"/>
      <c r="M116" s="3">
        <f>23538+4248</f>
        <v>27786</v>
      </c>
      <c r="N116" s="3"/>
      <c r="O116" s="3">
        <v>1009190</v>
      </c>
      <c r="P116" s="3"/>
      <c r="Q116" s="3">
        <v>1937619</v>
      </c>
      <c r="R116" s="3"/>
      <c r="S116" s="3">
        <v>25877</v>
      </c>
      <c r="T116" s="3"/>
      <c r="U116" s="3">
        <v>314468</v>
      </c>
      <c r="V116" s="3"/>
      <c r="W116" s="3">
        <v>250237</v>
      </c>
      <c r="X116" s="3"/>
      <c r="Y116" s="3">
        <v>10192</v>
      </c>
      <c r="Z116" s="3"/>
      <c r="AA116" s="3">
        <v>151149</v>
      </c>
      <c r="AB116" s="3"/>
      <c r="AC116" s="3">
        <v>95465</v>
      </c>
      <c r="AD116" s="3"/>
      <c r="AE116" s="16" t="s">
        <v>210</v>
      </c>
      <c r="AG116" s="16" t="s">
        <v>211</v>
      </c>
      <c r="AH116" s="3"/>
      <c r="AI116" s="3">
        <v>33304</v>
      </c>
      <c r="AJ116" s="3"/>
      <c r="AK116" s="3">
        <v>0</v>
      </c>
      <c r="AL116" s="3"/>
      <c r="AM116" s="3">
        <v>0</v>
      </c>
      <c r="AN116" s="3"/>
      <c r="AO116" s="3">
        <v>44246</v>
      </c>
      <c r="AP116" s="3"/>
      <c r="AQ116" s="3">
        <v>0</v>
      </c>
      <c r="AR116" s="3"/>
      <c r="AS116" s="3">
        <v>32147</v>
      </c>
      <c r="AT116" s="3"/>
      <c r="AU116" s="3">
        <v>951569</v>
      </c>
      <c r="AV116" s="3"/>
      <c r="AW116" s="3">
        <v>51038</v>
      </c>
      <c r="AX116" s="3"/>
      <c r="AY116" s="3">
        <v>31579</v>
      </c>
      <c r="AZ116" s="3"/>
      <c r="BA116" s="3">
        <v>0</v>
      </c>
      <c r="BB116" s="3"/>
      <c r="BC116" s="17">
        <f t="shared" si="4"/>
        <v>6250491</v>
      </c>
      <c r="BD116" s="16" t="s">
        <v>210</v>
      </c>
      <c r="BF116" s="16" t="s">
        <v>211</v>
      </c>
      <c r="BG116" s="3"/>
      <c r="BH116" s="3">
        <v>0</v>
      </c>
      <c r="BI116" s="3"/>
      <c r="BJ116" s="3">
        <v>0</v>
      </c>
      <c r="BK116" s="3"/>
      <c r="BL116" s="3">
        <v>0</v>
      </c>
      <c r="BM116" s="3"/>
      <c r="BN116" s="3">
        <v>0</v>
      </c>
      <c r="BO116" s="3"/>
      <c r="BP116" s="17">
        <f t="shared" si="10"/>
        <v>6250491</v>
      </c>
      <c r="BQ116" s="3"/>
      <c r="BR116" s="17">
        <f>GovRev!AX116-BP116</f>
        <v>-103588</v>
      </c>
      <c r="BS116" s="3"/>
      <c r="BT116" s="3">
        <v>826958</v>
      </c>
      <c r="BU116" s="3"/>
      <c r="BV116" s="3">
        <v>0</v>
      </c>
      <c r="BW116" s="3"/>
      <c r="BX116" s="17">
        <f t="shared" si="7"/>
        <v>723370</v>
      </c>
      <c r="BY116" s="17"/>
      <c r="BZ116" s="17">
        <f>-BX116+GovBS!AC116</f>
        <v>0</v>
      </c>
    </row>
    <row r="117" spans="1:78" s="16" customFormat="1" ht="12">
      <c r="A117" s="3" t="s">
        <v>213</v>
      </c>
      <c r="B117" s="3"/>
      <c r="C117" s="3" t="s">
        <v>214</v>
      </c>
      <c r="D117" s="3"/>
      <c r="E117" s="3">
        <v>138222</v>
      </c>
      <c r="F117" s="3"/>
      <c r="G117" s="3">
        <v>5343</v>
      </c>
      <c r="H117" s="3"/>
      <c r="I117" s="3">
        <v>3455581</v>
      </c>
      <c r="J117" s="3"/>
      <c r="K117" s="3">
        <v>0</v>
      </c>
      <c r="L117" s="3"/>
      <c r="M117" s="3">
        <v>8215</v>
      </c>
      <c r="N117" s="3"/>
      <c r="O117" s="3">
        <v>1865007</v>
      </c>
      <c r="P117" s="3"/>
      <c r="Q117" s="3">
        <v>2748346</v>
      </c>
      <c r="R117" s="3"/>
      <c r="S117" s="3">
        <v>75137</v>
      </c>
      <c r="T117" s="3"/>
      <c r="U117" s="3">
        <v>827885</v>
      </c>
      <c r="V117" s="3"/>
      <c r="W117" s="3">
        <v>339474</v>
      </c>
      <c r="X117" s="3"/>
      <c r="Y117" s="3">
        <v>0</v>
      </c>
      <c r="Z117" s="3"/>
      <c r="AA117" s="3">
        <v>138276</v>
      </c>
      <c r="AB117" s="3"/>
      <c r="AC117" s="3">
        <v>0</v>
      </c>
      <c r="AD117" s="3"/>
      <c r="AE117" s="16" t="s">
        <v>213</v>
      </c>
      <c r="AG117" s="16" t="s">
        <v>214</v>
      </c>
      <c r="AH117" s="3"/>
      <c r="AI117" s="3">
        <v>58176</v>
      </c>
      <c r="AJ117" s="3"/>
      <c r="AK117" s="3">
        <v>0</v>
      </c>
      <c r="AL117" s="3"/>
      <c r="AM117" s="3">
        <v>0</v>
      </c>
      <c r="AN117" s="3"/>
      <c r="AO117" s="3">
        <v>38387</v>
      </c>
      <c r="AP117" s="3"/>
      <c r="AQ117" s="3">
        <v>201</v>
      </c>
      <c r="AR117" s="3"/>
      <c r="AS117" s="3">
        <v>0</v>
      </c>
      <c r="AT117" s="3"/>
      <c r="AU117" s="3">
        <v>0</v>
      </c>
      <c r="AV117" s="3"/>
      <c r="AW117" s="3">
        <v>0</v>
      </c>
      <c r="AX117" s="3"/>
      <c r="AY117" s="3">
        <v>0</v>
      </c>
      <c r="AZ117" s="3"/>
      <c r="BA117" s="3">
        <v>0</v>
      </c>
      <c r="BB117" s="3"/>
      <c r="BC117" s="17">
        <f t="shared" si="4"/>
        <v>9560028</v>
      </c>
      <c r="BD117" s="16" t="s">
        <v>213</v>
      </c>
      <c r="BF117" s="16" t="s">
        <v>214</v>
      </c>
      <c r="BG117" s="3"/>
      <c r="BH117" s="3">
        <v>0</v>
      </c>
      <c r="BI117" s="3"/>
      <c r="BJ117" s="3">
        <v>0</v>
      </c>
      <c r="BK117" s="3"/>
      <c r="BL117" s="3">
        <v>0</v>
      </c>
      <c r="BM117" s="3"/>
      <c r="BN117" s="3">
        <v>0</v>
      </c>
      <c r="BO117" s="3"/>
      <c r="BP117" s="17">
        <f t="shared" si="10"/>
        <v>9560028</v>
      </c>
      <c r="BQ117" s="3"/>
      <c r="BR117" s="17">
        <f>GovRev!AX117-BP117</f>
        <v>-173340</v>
      </c>
      <c r="BS117" s="3"/>
      <c r="BT117" s="3">
        <v>3007567</v>
      </c>
      <c r="BU117" s="3"/>
      <c r="BV117" s="3">
        <v>0</v>
      </c>
      <c r="BW117" s="3"/>
      <c r="BX117" s="17">
        <f t="shared" si="7"/>
        <v>2834227</v>
      </c>
      <c r="BY117" s="17"/>
      <c r="BZ117" s="17">
        <f>-BX117+GovBS!AC117</f>
        <v>0</v>
      </c>
    </row>
    <row r="118" spans="1:78" s="16" customFormat="1" ht="12" hidden="1">
      <c r="A118" s="3" t="s">
        <v>386</v>
      </c>
      <c r="B118" s="3"/>
      <c r="C118" s="3" t="s">
        <v>216</v>
      </c>
      <c r="D118" s="3"/>
      <c r="E118" s="3">
        <v>49551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16" t="s">
        <v>215</v>
      </c>
      <c r="AG118" s="16" t="s">
        <v>216</v>
      </c>
      <c r="AH118" s="3"/>
      <c r="AI118" s="3"/>
      <c r="AJ118" s="3"/>
      <c r="AK118" s="3">
        <v>0</v>
      </c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17">
        <f t="shared" si="4"/>
        <v>0</v>
      </c>
      <c r="BD118" s="16" t="s">
        <v>215</v>
      </c>
      <c r="BF118" s="16" t="s">
        <v>216</v>
      </c>
      <c r="BG118" s="3"/>
      <c r="BH118" s="3"/>
      <c r="BI118" s="3"/>
      <c r="BJ118" s="3"/>
      <c r="BK118" s="3"/>
      <c r="BL118" s="3">
        <v>0</v>
      </c>
      <c r="BM118" s="3"/>
      <c r="BN118" s="3"/>
      <c r="BO118" s="3"/>
      <c r="BP118" s="17">
        <f t="shared" si="10"/>
        <v>0</v>
      </c>
      <c r="BQ118" s="3"/>
      <c r="BR118" s="17">
        <f>GovRev!AX118-BP118</f>
        <v>0</v>
      </c>
      <c r="BS118" s="3"/>
      <c r="BT118" s="3"/>
      <c r="BU118" s="3"/>
      <c r="BV118" s="3"/>
      <c r="BW118" s="3"/>
      <c r="BX118" s="17">
        <f t="shared" si="7"/>
        <v>0</v>
      </c>
      <c r="BY118" s="17"/>
      <c r="BZ118" s="17">
        <f>-BX118+GovBS!AC118</f>
        <v>0</v>
      </c>
    </row>
    <row r="119" spans="1:78" s="16" customFormat="1" ht="12">
      <c r="A119" s="3" t="s">
        <v>219</v>
      </c>
      <c r="B119" s="3"/>
      <c r="C119" s="3" t="s">
        <v>220</v>
      </c>
      <c r="D119" s="3"/>
      <c r="E119" s="3">
        <v>49742</v>
      </c>
      <c r="F119" s="3"/>
      <c r="G119" s="3">
        <v>581341</v>
      </c>
      <c r="H119" s="3"/>
      <c r="I119" s="3">
        <v>1471103</v>
      </c>
      <c r="J119" s="3"/>
      <c r="K119" s="3">
        <v>0</v>
      </c>
      <c r="L119" s="3"/>
      <c r="M119" s="3">
        <v>0</v>
      </c>
      <c r="N119" s="3"/>
      <c r="O119" s="3">
        <v>1349873</v>
      </c>
      <c r="P119" s="3"/>
      <c r="Q119" s="3">
        <v>1248030</v>
      </c>
      <c r="R119" s="3"/>
      <c r="S119" s="3">
        <v>31513</v>
      </c>
      <c r="T119" s="3"/>
      <c r="U119" s="3">
        <v>409515</v>
      </c>
      <c r="V119" s="3"/>
      <c r="W119" s="3">
        <v>160236</v>
      </c>
      <c r="X119" s="3"/>
      <c r="Y119" s="3">
        <v>4087</v>
      </c>
      <c r="Z119" s="3"/>
      <c r="AA119" s="3">
        <v>0</v>
      </c>
      <c r="AB119" s="3"/>
      <c r="AC119" s="3">
        <v>569</v>
      </c>
      <c r="AD119" s="3"/>
      <c r="AE119" s="16" t="s">
        <v>219</v>
      </c>
      <c r="AG119" s="16" t="s">
        <v>220</v>
      </c>
      <c r="AH119" s="3"/>
      <c r="AI119" s="3">
        <v>149789</v>
      </c>
      <c r="AJ119" s="3"/>
      <c r="AK119" s="3">
        <v>0</v>
      </c>
      <c r="AL119" s="3"/>
      <c r="AM119" s="3">
        <v>0</v>
      </c>
      <c r="AN119" s="3"/>
      <c r="AO119" s="3">
        <v>0</v>
      </c>
      <c r="AP119" s="3"/>
      <c r="AQ119" s="3">
        <v>0</v>
      </c>
      <c r="AR119" s="3"/>
      <c r="AS119" s="3">
        <v>40050</v>
      </c>
      <c r="AT119" s="3"/>
      <c r="AU119" s="3">
        <v>0</v>
      </c>
      <c r="AV119" s="3"/>
      <c r="AW119" s="3">
        <v>30206</v>
      </c>
      <c r="AX119" s="3"/>
      <c r="AY119" s="3">
        <v>1952</v>
      </c>
      <c r="AZ119" s="3"/>
      <c r="BA119" s="3">
        <v>0</v>
      </c>
      <c r="BB119" s="3"/>
      <c r="BC119" s="17">
        <f t="shared" si="4"/>
        <v>5478264</v>
      </c>
      <c r="BD119" s="16" t="s">
        <v>219</v>
      </c>
      <c r="BF119" s="16" t="s">
        <v>220</v>
      </c>
      <c r="BG119" s="3"/>
      <c r="BH119" s="3">
        <v>0</v>
      </c>
      <c r="BI119" s="3"/>
      <c r="BJ119" s="3">
        <v>0</v>
      </c>
      <c r="BK119" s="3"/>
      <c r="BL119" s="3">
        <v>0</v>
      </c>
      <c r="BM119" s="3"/>
      <c r="BN119" s="3">
        <v>0</v>
      </c>
      <c r="BO119" s="3"/>
      <c r="BP119" s="17">
        <f t="shared" si="10"/>
        <v>5478264</v>
      </c>
      <c r="BQ119" s="3"/>
      <c r="BR119" s="17">
        <f>GovRev!AX119-BP119</f>
        <v>-25579</v>
      </c>
      <c r="BS119" s="3"/>
      <c r="BT119" s="3">
        <v>638197</v>
      </c>
      <c r="BU119" s="3"/>
      <c r="BV119" s="3">
        <v>0</v>
      </c>
      <c r="BW119" s="3"/>
      <c r="BX119" s="17">
        <f t="shared" si="7"/>
        <v>612618</v>
      </c>
      <c r="BY119" s="17"/>
      <c r="BZ119" s="17">
        <f>-BX119+GovBS!AC119</f>
        <v>0</v>
      </c>
    </row>
    <row r="120" spans="1:78" s="16" customFormat="1" ht="12">
      <c r="A120" s="3" t="s">
        <v>324</v>
      </c>
      <c r="B120" s="3"/>
      <c r="C120" s="3" t="s">
        <v>217</v>
      </c>
      <c r="D120" s="3"/>
      <c r="E120" s="3">
        <v>125658</v>
      </c>
      <c r="F120" s="3"/>
      <c r="G120" s="3">
        <v>551220</v>
      </c>
      <c r="H120" s="3"/>
      <c r="I120" s="3">
        <v>3611203</v>
      </c>
      <c r="J120" s="3"/>
      <c r="K120" s="3">
        <v>0</v>
      </c>
      <c r="L120" s="3"/>
      <c r="M120" s="3">
        <v>191041</v>
      </c>
      <c r="N120" s="3"/>
      <c r="O120" s="3">
        <v>1850450</v>
      </c>
      <c r="P120" s="3"/>
      <c r="Q120" s="3">
        <v>1092073</v>
      </c>
      <c r="R120" s="3"/>
      <c r="S120" s="3">
        <v>26786</v>
      </c>
      <c r="T120" s="3"/>
      <c r="U120" s="3">
        <v>685632</v>
      </c>
      <c r="V120" s="3"/>
      <c r="W120" s="3">
        <v>243606</v>
      </c>
      <c r="X120" s="3"/>
      <c r="Y120" s="3">
        <v>0</v>
      </c>
      <c r="Z120" s="3"/>
      <c r="AA120" s="3">
        <v>129183</v>
      </c>
      <c r="AB120" s="3"/>
      <c r="AC120" s="3">
        <v>17950</v>
      </c>
      <c r="AD120" s="3"/>
      <c r="AE120" s="16" t="s">
        <v>324</v>
      </c>
      <c r="AG120" s="16" t="s">
        <v>217</v>
      </c>
      <c r="AH120" s="3"/>
      <c r="AI120" s="3">
        <v>164755</v>
      </c>
      <c r="AJ120" s="3"/>
      <c r="AK120" s="3">
        <v>0</v>
      </c>
      <c r="AL120" s="3"/>
      <c r="AM120" s="3">
        <v>0</v>
      </c>
      <c r="AN120" s="3"/>
      <c r="AO120" s="3">
        <v>0</v>
      </c>
      <c r="AP120" s="3"/>
      <c r="AQ120" s="3">
        <v>0</v>
      </c>
      <c r="AR120" s="3"/>
      <c r="AS120" s="3">
        <v>0</v>
      </c>
      <c r="AT120" s="3"/>
      <c r="AU120" s="3">
        <v>0</v>
      </c>
      <c r="AV120" s="3"/>
      <c r="AW120" s="3">
        <v>42794</v>
      </c>
      <c r="AX120" s="3"/>
      <c r="AY120" s="3">
        <v>5596</v>
      </c>
      <c r="AZ120" s="3"/>
      <c r="BA120" s="3">
        <v>0</v>
      </c>
      <c r="BB120" s="3"/>
      <c r="BC120" s="17">
        <f t="shared" si="4"/>
        <v>8612289</v>
      </c>
      <c r="BD120" s="16" t="s">
        <v>324</v>
      </c>
      <c r="BF120" s="16" t="s">
        <v>217</v>
      </c>
      <c r="BG120" s="3"/>
      <c r="BH120" s="3">
        <v>0</v>
      </c>
      <c r="BI120" s="3"/>
      <c r="BJ120" s="3">
        <v>0</v>
      </c>
      <c r="BK120" s="3"/>
      <c r="BL120" s="3">
        <v>0</v>
      </c>
      <c r="BM120" s="3"/>
      <c r="BN120" s="3">
        <v>0</v>
      </c>
      <c r="BO120" s="3"/>
      <c r="BP120" s="17">
        <f t="shared" si="10"/>
        <v>8612289</v>
      </c>
      <c r="BQ120" s="3"/>
      <c r="BR120" s="17">
        <f>GovRev!AX120-BP120</f>
        <v>173533</v>
      </c>
      <c r="BS120" s="3"/>
      <c r="BT120" s="3">
        <v>637331</v>
      </c>
      <c r="BU120" s="3"/>
      <c r="BV120" s="3">
        <v>0</v>
      </c>
      <c r="BW120" s="3"/>
      <c r="BX120" s="17">
        <f t="shared" si="7"/>
        <v>810864</v>
      </c>
      <c r="BY120" s="17"/>
      <c r="BZ120" s="17">
        <f>-BX120+GovBS!AC120</f>
        <v>0</v>
      </c>
    </row>
    <row r="121" spans="1:78" s="16" customFormat="1" ht="12">
      <c r="A121" s="3" t="s">
        <v>323</v>
      </c>
      <c r="B121" s="3"/>
      <c r="C121" s="3" t="s">
        <v>164</v>
      </c>
      <c r="D121" s="3"/>
      <c r="E121" s="3"/>
      <c r="F121" s="3"/>
      <c r="G121" s="3">
        <v>509446</v>
      </c>
      <c r="H121" s="3"/>
      <c r="I121" s="3">
        <v>559116</v>
      </c>
      <c r="J121" s="3"/>
      <c r="K121" s="3">
        <v>0</v>
      </c>
      <c r="L121" s="3"/>
      <c r="M121" s="3">
        <v>0</v>
      </c>
      <c r="N121" s="3"/>
      <c r="O121" s="3">
        <v>378446</v>
      </c>
      <c r="P121" s="3"/>
      <c r="Q121" s="3">
        <v>1289183</v>
      </c>
      <c r="R121" s="3"/>
      <c r="S121" s="3">
        <v>30853</v>
      </c>
      <c r="T121" s="3"/>
      <c r="U121" s="3">
        <v>601678</v>
      </c>
      <c r="V121" s="3"/>
      <c r="W121" s="3">
        <v>231668</v>
      </c>
      <c r="X121" s="3"/>
      <c r="Y121" s="3">
        <v>0</v>
      </c>
      <c r="Z121" s="3"/>
      <c r="AA121" s="3">
        <v>50526</v>
      </c>
      <c r="AB121" s="3"/>
      <c r="AC121" s="3">
        <v>0</v>
      </c>
      <c r="AD121" s="3"/>
      <c r="AE121" s="3" t="s">
        <v>323</v>
      </c>
      <c r="AF121" s="3"/>
      <c r="AG121" s="3" t="s">
        <v>164</v>
      </c>
      <c r="AH121" s="3"/>
      <c r="AI121" s="3">
        <v>318242</v>
      </c>
      <c r="AJ121" s="3"/>
      <c r="AK121" s="3">
        <v>0</v>
      </c>
      <c r="AL121" s="3"/>
      <c r="AM121" s="3">
        <v>0</v>
      </c>
      <c r="AN121" s="3"/>
      <c r="AO121" s="3">
        <v>0</v>
      </c>
      <c r="AP121" s="3"/>
      <c r="AQ121" s="3">
        <v>0</v>
      </c>
      <c r="AR121" s="3"/>
      <c r="AS121" s="3">
        <v>0</v>
      </c>
      <c r="AT121" s="3"/>
      <c r="AU121" s="3">
        <v>0</v>
      </c>
      <c r="AV121" s="3"/>
      <c r="AW121" s="3">
        <v>0</v>
      </c>
      <c r="AX121" s="3"/>
      <c r="AY121" s="3">
        <v>0</v>
      </c>
      <c r="AZ121" s="3"/>
      <c r="BA121" s="3">
        <v>0</v>
      </c>
      <c r="BB121" s="3"/>
      <c r="BC121" s="17">
        <f>SUM(G121:BA121)</f>
        <v>3969158</v>
      </c>
      <c r="BD121" s="3" t="s">
        <v>323</v>
      </c>
      <c r="BE121" s="3"/>
      <c r="BF121" s="3" t="s">
        <v>164</v>
      </c>
      <c r="BG121" s="3"/>
      <c r="BH121" s="3">
        <v>0</v>
      </c>
      <c r="BI121" s="3"/>
      <c r="BJ121" s="3">
        <v>0</v>
      </c>
      <c r="BK121" s="3"/>
      <c r="BL121" s="3">
        <v>0</v>
      </c>
      <c r="BM121" s="3"/>
      <c r="BN121" s="3">
        <v>0</v>
      </c>
      <c r="BO121" s="3"/>
      <c r="BP121" s="17">
        <f t="shared" si="10"/>
        <v>3969158</v>
      </c>
      <c r="BQ121" s="3"/>
      <c r="BR121" s="17">
        <f>GovRev!AX121-BP121</f>
        <v>-118972</v>
      </c>
      <c r="BS121" s="3"/>
      <c r="BT121" s="3">
        <v>2825200</v>
      </c>
      <c r="BU121" s="3"/>
      <c r="BV121" s="3">
        <v>0</v>
      </c>
      <c r="BW121" s="3"/>
      <c r="BX121" s="17">
        <f t="shared" si="7"/>
        <v>2706228</v>
      </c>
      <c r="BY121" s="17"/>
      <c r="BZ121" s="17">
        <f>-BX121+GovBS!AC121</f>
        <v>0</v>
      </c>
    </row>
    <row r="122" spans="1:78" s="16" customFormat="1" ht="12">
      <c r="A122" s="3" t="s">
        <v>355</v>
      </c>
      <c r="B122" s="3"/>
      <c r="C122" s="3" t="s">
        <v>221</v>
      </c>
      <c r="D122" s="3"/>
      <c r="E122" s="3">
        <v>49825</v>
      </c>
      <c r="F122" s="3"/>
      <c r="G122" s="3">
        <v>108487</v>
      </c>
      <c r="H122" s="3"/>
      <c r="I122" s="3">
        <v>4784054</v>
      </c>
      <c r="J122" s="3"/>
      <c r="K122" s="3">
        <v>0</v>
      </c>
      <c r="L122" s="3"/>
      <c r="M122" s="3">
        <v>1732</v>
      </c>
      <c r="N122" s="3"/>
      <c r="O122" s="3">
        <v>3251987</v>
      </c>
      <c r="P122" s="3"/>
      <c r="Q122" s="3">
        <v>6566741</v>
      </c>
      <c r="R122" s="3"/>
      <c r="S122" s="3">
        <v>25506</v>
      </c>
      <c r="T122" s="3"/>
      <c r="U122" s="3">
        <v>3115701</v>
      </c>
      <c r="V122" s="3"/>
      <c r="W122" s="3">
        <v>408642</v>
      </c>
      <c r="X122" s="3"/>
      <c r="Y122" s="3">
        <v>712925</v>
      </c>
      <c r="Z122" s="3"/>
      <c r="AA122" s="3">
        <v>357966</v>
      </c>
      <c r="AB122" s="3"/>
      <c r="AC122" s="3">
        <v>396684</v>
      </c>
      <c r="AD122" s="3"/>
      <c r="AE122" s="16" t="s">
        <v>355</v>
      </c>
      <c r="AG122" s="16" t="s">
        <v>221</v>
      </c>
      <c r="AH122" s="3"/>
      <c r="AI122" s="3">
        <v>50214</v>
      </c>
      <c r="AJ122" s="3"/>
      <c r="AK122" s="3">
        <v>0</v>
      </c>
      <c r="AL122" s="3"/>
      <c r="AM122" s="3">
        <v>41658</v>
      </c>
      <c r="AN122" s="3"/>
      <c r="AO122" s="3">
        <v>0</v>
      </c>
      <c r="AP122" s="3"/>
      <c r="AQ122" s="3">
        <v>502</v>
      </c>
      <c r="AR122" s="3"/>
      <c r="AS122" s="3">
        <v>0</v>
      </c>
      <c r="AT122" s="3"/>
      <c r="AU122" s="3">
        <v>0</v>
      </c>
      <c r="AV122" s="3"/>
      <c r="AW122" s="3">
        <v>0</v>
      </c>
      <c r="AX122" s="3"/>
      <c r="AY122" s="3">
        <v>0</v>
      </c>
      <c r="AZ122" s="3"/>
      <c r="BA122" s="3">
        <v>0</v>
      </c>
      <c r="BB122" s="3"/>
      <c r="BC122" s="17">
        <f t="shared" si="4"/>
        <v>19822799</v>
      </c>
      <c r="BD122" s="16" t="s">
        <v>355</v>
      </c>
      <c r="BF122" s="16" t="s">
        <v>221</v>
      </c>
      <c r="BG122" s="3"/>
      <c r="BH122" s="3">
        <v>0</v>
      </c>
      <c r="BI122" s="3"/>
      <c r="BJ122" s="3">
        <v>0</v>
      </c>
      <c r="BK122" s="3"/>
      <c r="BL122" s="3">
        <v>0</v>
      </c>
      <c r="BM122" s="3"/>
      <c r="BN122" s="3">
        <v>0</v>
      </c>
      <c r="BO122" s="3"/>
      <c r="BP122" s="17">
        <f t="shared" si="10"/>
        <v>19822799</v>
      </c>
      <c r="BQ122" s="3"/>
      <c r="BR122" s="17">
        <f>GovRev!AX122-BP122</f>
        <v>-470487</v>
      </c>
      <c r="BS122" s="3"/>
      <c r="BT122" s="3">
        <v>483278</v>
      </c>
      <c r="BU122" s="3"/>
      <c r="BV122" s="3">
        <v>0</v>
      </c>
      <c r="BW122" s="3"/>
      <c r="BX122" s="17">
        <f t="shared" si="7"/>
        <v>12791</v>
      </c>
      <c r="BY122" s="17"/>
      <c r="BZ122" s="17">
        <f>-BX122+GovBS!AC122</f>
        <v>0</v>
      </c>
    </row>
    <row r="123" spans="1:78" s="16" customFormat="1" ht="12">
      <c r="A123" s="3" t="s">
        <v>222</v>
      </c>
      <c r="B123" s="3"/>
      <c r="C123" s="3" t="s">
        <v>223</v>
      </c>
      <c r="D123" s="3"/>
      <c r="E123" s="3">
        <v>49965</v>
      </c>
      <c r="F123" s="3"/>
      <c r="G123" s="3">
        <v>912276</v>
      </c>
      <c r="H123" s="3"/>
      <c r="I123" s="3">
        <v>3790998</v>
      </c>
      <c r="J123" s="3"/>
      <c r="K123" s="3">
        <v>69782</v>
      </c>
      <c r="L123" s="3"/>
      <c r="M123" s="3">
        <v>0</v>
      </c>
      <c r="N123" s="3"/>
      <c r="O123" s="3">
        <v>2995724</v>
      </c>
      <c r="P123" s="3"/>
      <c r="Q123" s="3">
        <v>4158601</v>
      </c>
      <c r="R123" s="3"/>
      <c r="S123" s="3">
        <v>87926</v>
      </c>
      <c r="T123" s="3"/>
      <c r="U123" s="3">
        <v>793852</v>
      </c>
      <c r="V123" s="3"/>
      <c r="W123" s="3">
        <v>452161</v>
      </c>
      <c r="X123" s="3"/>
      <c r="Y123" s="3">
        <v>31755</v>
      </c>
      <c r="Z123" s="3"/>
      <c r="AA123" s="3">
        <v>345834</v>
      </c>
      <c r="AB123" s="3"/>
      <c r="AC123" s="3">
        <v>0</v>
      </c>
      <c r="AD123" s="3"/>
      <c r="AE123" s="16" t="s">
        <v>222</v>
      </c>
      <c r="AG123" s="16" t="s">
        <v>223</v>
      </c>
      <c r="AH123" s="3"/>
      <c r="AI123" s="3">
        <v>208469</v>
      </c>
      <c r="AJ123" s="3"/>
      <c r="AK123" s="3">
        <v>0</v>
      </c>
      <c r="AL123" s="3"/>
      <c r="AM123" s="3">
        <v>0</v>
      </c>
      <c r="AN123" s="3"/>
      <c r="AO123" s="3">
        <v>13000</v>
      </c>
      <c r="AP123" s="3"/>
      <c r="AQ123" s="3">
        <v>21631</v>
      </c>
      <c r="AR123" s="3"/>
      <c r="AS123" s="3">
        <v>0</v>
      </c>
      <c r="AT123" s="3"/>
      <c r="AU123" s="3">
        <v>0</v>
      </c>
      <c r="AV123" s="3"/>
      <c r="AW123" s="3">
        <v>74994</v>
      </c>
      <c r="AX123" s="3"/>
      <c r="AY123" s="3">
        <v>46230</v>
      </c>
      <c r="AZ123" s="3"/>
      <c r="BA123" s="3">
        <v>0</v>
      </c>
      <c r="BB123" s="3"/>
      <c r="BC123" s="17">
        <f t="shared" si="4"/>
        <v>14003233</v>
      </c>
      <c r="BD123" s="16" t="s">
        <v>222</v>
      </c>
      <c r="BF123" s="16" t="s">
        <v>223</v>
      </c>
      <c r="BG123" s="3"/>
      <c r="BH123" s="3">
        <v>0</v>
      </c>
      <c r="BI123" s="3"/>
      <c r="BJ123" s="3">
        <v>0</v>
      </c>
      <c r="BK123" s="3"/>
      <c r="BL123" s="3">
        <v>0</v>
      </c>
      <c r="BM123" s="3"/>
      <c r="BN123" s="3">
        <v>0</v>
      </c>
      <c r="BO123" s="3"/>
      <c r="BP123" s="17">
        <f t="shared" si="10"/>
        <v>14003233</v>
      </c>
      <c r="BQ123" s="3"/>
      <c r="BR123" s="17">
        <f>GovRev!AX123-BP123</f>
        <v>250187</v>
      </c>
      <c r="BS123" s="3"/>
      <c r="BT123" s="3">
        <v>5563608</v>
      </c>
      <c r="BU123" s="3"/>
      <c r="BV123" s="3">
        <v>0</v>
      </c>
      <c r="BW123" s="3"/>
      <c r="BX123" s="17">
        <f t="shared" si="7"/>
        <v>5813795</v>
      </c>
      <c r="BY123" s="17"/>
      <c r="BZ123" s="17">
        <f>-BX123+GovBS!AC123</f>
        <v>0</v>
      </c>
    </row>
    <row r="124" spans="1:78" s="16" customFormat="1" ht="12">
      <c r="A124" s="3" t="s">
        <v>233</v>
      </c>
      <c r="B124" s="3"/>
      <c r="C124" s="3" t="s">
        <v>234</v>
      </c>
      <c r="D124" s="3"/>
      <c r="E124" s="3">
        <v>50526</v>
      </c>
      <c r="F124" s="3"/>
      <c r="G124" s="3">
        <v>897894</v>
      </c>
      <c r="H124" s="3"/>
      <c r="I124" s="3">
        <v>1611918</v>
      </c>
      <c r="J124" s="3"/>
      <c r="K124" s="3">
        <v>0</v>
      </c>
      <c r="L124" s="3"/>
      <c r="M124" s="3">
        <v>60375</v>
      </c>
      <c r="N124" s="3"/>
      <c r="O124" s="3">
        <v>2655132</v>
      </c>
      <c r="P124" s="3"/>
      <c r="Q124" s="3">
        <v>3322912</v>
      </c>
      <c r="R124" s="3"/>
      <c r="S124" s="3">
        <v>51385</v>
      </c>
      <c r="T124" s="3"/>
      <c r="U124" s="3">
        <v>514153</v>
      </c>
      <c r="V124" s="3"/>
      <c r="W124" s="3">
        <v>338265</v>
      </c>
      <c r="X124" s="3"/>
      <c r="Y124" s="3">
        <v>168020</v>
      </c>
      <c r="Z124" s="3"/>
      <c r="AA124" s="3">
        <v>198825</v>
      </c>
      <c r="AB124" s="3"/>
      <c r="AC124" s="3">
        <v>30879</v>
      </c>
      <c r="AD124" s="3"/>
      <c r="AE124" s="16" t="s">
        <v>233</v>
      </c>
      <c r="AG124" s="16" t="s">
        <v>234</v>
      </c>
      <c r="AH124" s="3"/>
      <c r="AI124" s="3">
        <v>1501911</v>
      </c>
      <c r="AJ124" s="3"/>
      <c r="AK124" s="3">
        <v>0</v>
      </c>
      <c r="AL124" s="3"/>
      <c r="AM124" s="3">
        <v>0</v>
      </c>
      <c r="AN124" s="3"/>
      <c r="AO124" s="3">
        <v>3435303</v>
      </c>
      <c r="AP124" s="3"/>
      <c r="AQ124" s="3">
        <v>0</v>
      </c>
      <c r="AR124" s="3"/>
      <c r="AS124" s="3">
        <v>0</v>
      </c>
      <c r="AT124" s="3"/>
      <c r="AU124" s="3">
        <v>0</v>
      </c>
      <c r="AV124" s="3"/>
      <c r="AW124" s="3">
        <v>0</v>
      </c>
      <c r="AX124" s="3"/>
      <c r="AY124" s="3">
        <v>0</v>
      </c>
      <c r="AZ124" s="3"/>
      <c r="BA124" s="3">
        <v>0</v>
      </c>
      <c r="BB124" s="3"/>
      <c r="BC124" s="17">
        <f t="shared" si="4"/>
        <v>14786972</v>
      </c>
      <c r="BD124" s="16" t="s">
        <v>233</v>
      </c>
      <c r="BF124" s="16" t="s">
        <v>234</v>
      </c>
      <c r="BG124" s="3"/>
      <c r="BH124" s="3">
        <v>0</v>
      </c>
      <c r="BI124" s="3"/>
      <c r="BJ124" s="3">
        <v>0</v>
      </c>
      <c r="BK124" s="3"/>
      <c r="BL124" s="3">
        <v>0</v>
      </c>
      <c r="BM124" s="3"/>
      <c r="BN124" s="3">
        <v>0</v>
      </c>
      <c r="BO124" s="3"/>
      <c r="BP124" s="17">
        <f t="shared" si="10"/>
        <v>14786972</v>
      </c>
      <c r="BQ124" s="3"/>
      <c r="BR124" s="17">
        <f>GovRev!AX124-BP124</f>
        <v>-403011</v>
      </c>
      <c r="BS124" s="3"/>
      <c r="BT124" s="3">
        <v>1783811</v>
      </c>
      <c r="BU124" s="3"/>
      <c r="BV124" s="3">
        <v>0</v>
      </c>
      <c r="BW124" s="3"/>
      <c r="BX124" s="17">
        <f t="shared" si="7"/>
        <v>1380800</v>
      </c>
      <c r="BY124" s="17"/>
      <c r="BZ124" s="17">
        <f>-BX124+GovBS!AC124</f>
        <v>0</v>
      </c>
    </row>
    <row r="125" spans="1:78" s="16" customFormat="1" ht="12">
      <c r="A125" s="3" t="s">
        <v>224</v>
      </c>
      <c r="B125" s="3"/>
      <c r="C125" s="3" t="s">
        <v>225</v>
      </c>
      <c r="D125" s="3"/>
      <c r="E125" s="3">
        <v>50088</v>
      </c>
      <c r="F125" s="3"/>
      <c r="G125" s="3">
        <v>664869</v>
      </c>
      <c r="H125" s="3"/>
      <c r="I125" s="3">
        <v>6136323</v>
      </c>
      <c r="J125" s="3"/>
      <c r="K125" s="3">
        <v>0</v>
      </c>
      <c r="L125" s="3"/>
      <c r="M125" s="3">
        <v>0</v>
      </c>
      <c r="N125" s="3"/>
      <c r="O125" s="3">
        <v>4249316</v>
      </c>
      <c r="P125" s="3"/>
      <c r="Q125" s="3">
        <v>1959047</v>
      </c>
      <c r="R125" s="3"/>
      <c r="S125" s="3">
        <v>104443</v>
      </c>
      <c r="T125" s="3"/>
      <c r="U125" s="3">
        <v>2687968</v>
      </c>
      <c r="V125" s="3"/>
      <c r="W125" s="3">
        <v>310227</v>
      </c>
      <c r="X125" s="3"/>
      <c r="Y125" s="3">
        <v>42966</v>
      </c>
      <c r="Z125" s="3"/>
      <c r="AA125" s="3">
        <v>191452</v>
      </c>
      <c r="AB125" s="3"/>
      <c r="AC125" s="3">
        <v>27738</v>
      </c>
      <c r="AD125" s="3"/>
      <c r="AE125" s="16" t="s">
        <v>224</v>
      </c>
      <c r="AG125" s="16" t="s">
        <v>225</v>
      </c>
      <c r="AH125" s="3"/>
      <c r="AI125" s="3">
        <v>3040</v>
      </c>
      <c r="AJ125" s="3"/>
      <c r="AK125" s="3">
        <v>0</v>
      </c>
      <c r="AL125" s="3"/>
      <c r="AM125" s="3">
        <v>0</v>
      </c>
      <c r="AN125" s="3"/>
      <c r="AO125" s="3">
        <v>0</v>
      </c>
      <c r="AP125" s="3"/>
      <c r="AQ125" s="3">
        <v>0</v>
      </c>
      <c r="AR125" s="3"/>
      <c r="AS125" s="3">
        <v>11840</v>
      </c>
      <c r="AT125" s="3"/>
      <c r="AU125" s="3">
        <v>0</v>
      </c>
      <c r="AV125" s="3"/>
      <c r="AW125" s="3">
        <v>0</v>
      </c>
      <c r="AX125" s="3"/>
      <c r="AY125" s="3">
        <v>0</v>
      </c>
      <c r="AZ125" s="3"/>
      <c r="BA125" s="3">
        <v>0</v>
      </c>
      <c r="BB125" s="3"/>
      <c r="BC125" s="17">
        <f t="shared" si="4"/>
        <v>16389229</v>
      </c>
      <c r="BD125" s="16" t="s">
        <v>224</v>
      </c>
      <c r="BF125" s="16" t="s">
        <v>225</v>
      </c>
      <c r="BG125" s="3"/>
      <c r="BH125" s="3">
        <v>0</v>
      </c>
      <c r="BI125" s="3"/>
      <c r="BJ125" s="3">
        <v>0</v>
      </c>
      <c r="BK125" s="3"/>
      <c r="BL125" s="3">
        <v>0</v>
      </c>
      <c r="BM125" s="3"/>
      <c r="BN125" s="3">
        <v>0</v>
      </c>
      <c r="BO125" s="3"/>
      <c r="BP125" s="17">
        <f t="shared" si="10"/>
        <v>16389229</v>
      </c>
      <c r="BQ125" s="3"/>
      <c r="BR125" s="17">
        <f>GovRev!AX125-BP125</f>
        <v>436624</v>
      </c>
      <c r="BS125" s="3"/>
      <c r="BT125" s="3">
        <v>4188878</v>
      </c>
      <c r="BU125" s="3"/>
      <c r="BV125" s="3">
        <v>0</v>
      </c>
      <c r="BW125" s="3"/>
      <c r="BX125" s="17">
        <f t="shared" si="7"/>
        <v>4625502</v>
      </c>
      <c r="BY125" s="17"/>
      <c r="BZ125" s="17">
        <f>-BX125+GovBS!AC125</f>
        <v>0</v>
      </c>
    </row>
    <row r="126" spans="1:78" s="16" customFormat="1" ht="12" hidden="1">
      <c r="A126" s="3" t="s">
        <v>385</v>
      </c>
      <c r="B126" s="3"/>
      <c r="C126" s="3" t="s">
        <v>227</v>
      </c>
      <c r="D126" s="3"/>
      <c r="E126" s="3">
        <v>50260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16" t="s">
        <v>226</v>
      </c>
      <c r="AG126" s="16" t="s">
        <v>227</v>
      </c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17"/>
      <c r="BD126" s="16" t="s">
        <v>226</v>
      </c>
      <c r="BF126" s="16" t="s">
        <v>227</v>
      </c>
      <c r="BG126" s="3"/>
      <c r="BH126" s="3"/>
      <c r="BI126" s="3"/>
      <c r="BJ126" s="3"/>
      <c r="BK126" s="3"/>
      <c r="BL126" s="3"/>
      <c r="BM126" s="3"/>
      <c r="BN126" s="3"/>
      <c r="BO126" s="3"/>
      <c r="BP126" s="17"/>
      <c r="BQ126" s="3"/>
      <c r="BR126" s="17"/>
      <c r="BS126" s="3"/>
      <c r="BT126" s="3"/>
      <c r="BU126" s="3"/>
      <c r="BV126" s="3"/>
      <c r="BW126" s="3"/>
      <c r="BX126" s="17"/>
      <c r="BY126" s="17"/>
      <c r="BZ126" s="17"/>
    </row>
    <row r="127" spans="1:78" s="16" customFormat="1" ht="12" hidden="1">
      <c r="A127" s="3" t="s">
        <v>352</v>
      </c>
      <c r="B127" s="3"/>
      <c r="C127" s="3" t="s">
        <v>231</v>
      </c>
      <c r="D127" s="3"/>
      <c r="E127" s="3">
        <v>50401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16" t="s">
        <v>352</v>
      </c>
      <c r="AG127" s="16" t="s">
        <v>231</v>
      </c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17">
        <f t="shared" si="4"/>
        <v>0</v>
      </c>
      <c r="BD127" s="16" t="s">
        <v>352</v>
      </c>
      <c r="BF127" s="16" t="s">
        <v>231</v>
      </c>
      <c r="BG127" s="3"/>
      <c r="BH127" s="3"/>
      <c r="BI127" s="3"/>
      <c r="BJ127" s="3"/>
      <c r="BK127" s="3"/>
      <c r="BL127" s="3"/>
      <c r="BM127" s="3"/>
      <c r="BN127" s="3"/>
      <c r="BO127" s="3"/>
      <c r="BP127" s="17">
        <f t="shared" si="10"/>
        <v>0</v>
      </c>
      <c r="BQ127" s="3"/>
      <c r="BR127" s="17">
        <f>GovRev!AX127-BP127</f>
        <v>0</v>
      </c>
      <c r="BS127" s="3"/>
      <c r="BT127" s="3"/>
      <c r="BU127" s="3"/>
      <c r="BV127" s="3"/>
      <c r="BW127" s="3"/>
      <c r="BX127" s="17">
        <f t="shared" si="7"/>
        <v>0</v>
      </c>
      <c r="BY127" s="3"/>
      <c r="BZ127" s="17">
        <f>-BX127+GovBS!AC127</f>
        <v>0</v>
      </c>
    </row>
    <row r="128" spans="1:78" s="16" customFormat="1" ht="12" hidden="1">
      <c r="A128" s="3" t="s">
        <v>387</v>
      </c>
      <c r="B128" s="3"/>
      <c r="C128" s="3" t="s">
        <v>232</v>
      </c>
      <c r="D128" s="3"/>
      <c r="E128" s="3">
        <v>50476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C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17">
        <f>GovRev!AX128-BP128</f>
        <v>0</v>
      </c>
      <c r="BS128" s="3"/>
      <c r="BT128" s="3"/>
      <c r="BU128" s="3"/>
      <c r="BV128" s="3"/>
      <c r="BW128" s="3"/>
      <c r="BX128" s="17">
        <f t="shared" si="7"/>
        <v>0</v>
      </c>
      <c r="BY128" s="17"/>
      <c r="BZ128" s="17">
        <f>-BX128+GovBS!AC128</f>
        <v>0</v>
      </c>
    </row>
    <row r="129" spans="1:78" s="16" customFormat="1" ht="12">
      <c r="A129" s="3" t="s">
        <v>228</v>
      </c>
      <c r="B129" s="3"/>
      <c r="C129" s="3" t="s">
        <v>317</v>
      </c>
      <c r="D129" s="3"/>
      <c r="E129" s="3">
        <v>134999</v>
      </c>
      <c r="F129" s="3"/>
      <c r="G129" s="3">
        <v>844408</v>
      </c>
      <c r="H129" s="3"/>
      <c r="I129" s="3">
        <v>1838625</v>
      </c>
      <c r="J129" s="3"/>
      <c r="K129" s="3">
        <v>0</v>
      </c>
      <c r="L129" s="3"/>
      <c r="M129" s="3">
        <v>0</v>
      </c>
      <c r="N129" s="3"/>
      <c r="O129" s="3">
        <v>1149455</v>
      </c>
      <c r="P129" s="3"/>
      <c r="Q129" s="3">
        <v>810902</v>
      </c>
      <c r="R129" s="3"/>
      <c r="S129" s="3">
        <v>53535</v>
      </c>
      <c r="T129" s="3"/>
      <c r="U129" s="3">
        <v>426774</v>
      </c>
      <c r="V129" s="3"/>
      <c r="W129" s="3">
        <v>121510</v>
      </c>
      <c r="X129" s="3"/>
      <c r="Y129" s="3">
        <v>0</v>
      </c>
      <c r="Z129" s="3"/>
      <c r="AA129" s="3">
        <v>11160</v>
      </c>
      <c r="AB129" s="3"/>
      <c r="AC129" s="3">
        <v>0</v>
      </c>
      <c r="AD129" s="3"/>
      <c r="AE129" s="16" t="s">
        <v>228</v>
      </c>
      <c r="AG129" s="16" t="s">
        <v>317</v>
      </c>
      <c r="AH129" s="3"/>
      <c r="AI129" s="3">
        <v>55718</v>
      </c>
      <c r="AJ129" s="3"/>
      <c r="AK129" s="3">
        <v>0</v>
      </c>
      <c r="AL129" s="3"/>
      <c r="AM129" s="3">
        <v>0</v>
      </c>
      <c r="AN129" s="3"/>
      <c r="AO129" s="3">
        <v>75</v>
      </c>
      <c r="AP129" s="3"/>
      <c r="AQ129" s="3">
        <v>0</v>
      </c>
      <c r="AR129" s="3"/>
      <c r="AS129" s="3">
        <v>0</v>
      </c>
      <c r="AT129" s="3"/>
      <c r="AU129" s="3">
        <v>416302</v>
      </c>
      <c r="AV129" s="3"/>
      <c r="AW129" s="3">
        <v>0</v>
      </c>
      <c r="AX129" s="3"/>
      <c r="AY129" s="3">
        <v>0</v>
      </c>
      <c r="AZ129" s="3"/>
      <c r="BA129" s="3">
        <v>0</v>
      </c>
      <c r="BB129" s="3"/>
      <c r="BC129" s="17">
        <f>SUM(G129:BA129)</f>
        <v>5728464</v>
      </c>
      <c r="BD129" s="16" t="s">
        <v>228</v>
      </c>
      <c r="BF129" s="16" t="s">
        <v>317</v>
      </c>
      <c r="BG129" s="3"/>
      <c r="BH129" s="3">
        <v>0</v>
      </c>
      <c r="BI129" s="3"/>
      <c r="BJ129" s="3">
        <v>0</v>
      </c>
      <c r="BK129" s="3"/>
      <c r="BL129" s="3">
        <v>0</v>
      </c>
      <c r="BM129" s="3"/>
      <c r="BN129" s="3">
        <v>0</v>
      </c>
      <c r="BO129" s="3"/>
      <c r="BP129" s="17">
        <f>+BC129+BH129+BJ129+BN129+BL129</f>
        <v>5728464</v>
      </c>
      <c r="BQ129" s="3"/>
      <c r="BR129" s="17">
        <f>GovRev!AX129-BP129</f>
        <v>-109440</v>
      </c>
      <c r="BS129" s="3"/>
      <c r="BT129" s="3">
        <v>545044</v>
      </c>
      <c r="BU129" s="3"/>
      <c r="BV129" s="3">
        <v>0</v>
      </c>
      <c r="BW129" s="3"/>
      <c r="BX129" s="17">
        <f t="shared" si="7"/>
        <v>435604</v>
      </c>
      <c r="BY129" s="17"/>
      <c r="BZ129" s="17">
        <f>-BX129+GovBS!AC129</f>
        <v>0</v>
      </c>
    </row>
    <row r="130" spans="1:78" s="16" customFormat="1" ht="12">
      <c r="A130" s="3" t="s">
        <v>235</v>
      </c>
      <c r="B130" s="3"/>
      <c r="C130" s="3" t="s">
        <v>236</v>
      </c>
      <c r="D130" s="3"/>
      <c r="E130" s="3">
        <v>50666</v>
      </c>
      <c r="F130" s="3"/>
      <c r="G130" s="3">
        <v>1836049</v>
      </c>
      <c r="H130" s="3"/>
      <c r="I130" s="3">
        <v>5436680</v>
      </c>
      <c r="J130" s="3"/>
      <c r="K130" s="3">
        <v>212706</v>
      </c>
      <c r="L130" s="3"/>
      <c r="M130" s="3">
        <v>12488</v>
      </c>
      <c r="N130" s="3"/>
      <c r="O130" s="3">
        <v>3166412</v>
      </c>
      <c r="P130" s="3"/>
      <c r="Q130" s="3">
        <v>3999640</v>
      </c>
      <c r="R130" s="3"/>
      <c r="S130" s="3">
        <v>42138</v>
      </c>
      <c r="T130" s="3"/>
      <c r="U130" s="3">
        <v>1493694</v>
      </c>
      <c r="V130" s="3"/>
      <c r="W130" s="3">
        <v>692831</v>
      </c>
      <c r="X130" s="3"/>
      <c r="Y130" s="3">
        <v>0</v>
      </c>
      <c r="Z130" s="3"/>
      <c r="AA130" s="3">
        <v>108256</v>
      </c>
      <c r="AB130" s="3"/>
      <c r="AC130" s="3">
        <v>57440</v>
      </c>
      <c r="AD130" s="3"/>
      <c r="AE130" s="16" t="s">
        <v>235</v>
      </c>
      <c r="AG130" s="16" t="s">
        <v>236</v>
      </c>
      <c r="AH130" s="3"/>
      <c r="AI130" s="3">
        <v>408096</v>
      </c>
      <c r="AJ130" s="3"/>
      <c r="AK130" s="3">
        <v>0</v>
      </c>
      <c r="AL130" s="3"/>
      <c r="AM130" s="3">
        <v>0</v>
      </c>
      <c r="AN130" s="3"/>
      <c r="AO130" s="3">
        <v>24492</v>
      </c>
      <c r="AP130" s="3"/>
      <c r="AQ130" s="3">
        <v>0</v>
      </c>
      <c r="AR130" s="3"/>
      <c r="AS130" s="3">
        <v>0</v>
      </c>
      <c r="AT130" s="3"/>
      <c r="AU130" s="3">
        <v>138981</v>
      </c>
      <c r="AV130" s="3"/>
      <c r="AW130" s="3">
        <v>0</v>
      </c>
      <c r="AX130" s="3"/>
      <c r="AY130" s="3">
        <v>0</v>
      </c>
      <c r="AZ130" s="3"/>
      <c r="BA130" s="3">
        <v>0</v>
      </c>
      <c r="BB130" s="3"/>
      <c r="BC130" s="17">
        <f t="shared" si="4"/>
        <v>17629903</v>
      </c>
      <c r="BD130" s="16" t="s">
        <v>235</v>
      </c>
      <c r="BF130" s="16" t="s">
        <v>236</v>
      </c>
      <c r="BG130" s="3"/>
      <c r="BH130" s="3">
        <v>0</v>
      </c>
      <c r="BI130" s="3"/>
      <c r="BJ130" s="3">
        <v>0</v>
      </c>
      <c r="BK130" s="3"/>
      <c r="BL130" s="3">
        <v>0</v>
      </c>
      <c r="BM130" s="3"/>
      <c r="BN130" s="3">
        <v>0</v>
      </c>
      <c r="BO130" s="3"/>
      <c r="BP130" s="17">
        <f t="shared" si="10"/>
        <v>17629903</v>
      </c>
      <c r="BQ130" s="3"/>
      <c r="BR130" s="17">
        <f>GovRev!AX130-BP130</f>
        <v>377120</v>
      </c>
      <c r="BS130" s="3"/>
      <c r="BT130" s="3">
        <v>4381703</v>
      </c>
      <c r="BU130" s="3"/>
      <c r="BV130" s="3">
        <v>0</v>
      </c>
      <c r="BW130" s="3"/>
      <c r="BX130" s="17">
        <f t="shared" si="7"/>
        <v>4758823</v>
      </c>
      <c r="BY130" s="17"/>
      <c r="BZ130" s="17">
        <f>-BX130+GovBS!AC130</f>
        <v>0</v>
      </c>
    </row>
    <row r="131" spans="1:78" s="16" customFormat="1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C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</row>
    <row r="132" spans="1:78" s="16" customFormat="1" ht="12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17" t="s">
        <v>310</v>
      </c>
      <c r="AC132" s="3"/>
      <c r="AH132" s="3"/>
      <c r="AI132" s="17" t="s">
        <v>310</v>
      </c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17" t="s">
        <v>310</v>
      </c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</row>
    <row r="133" spans="1:78" s="16" customFormat="1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C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78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C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</row>
    <row r="135" spans="1:78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C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</row>
    <row r="136" spans="1:78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C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</row>
    <row r="137" spans="1:78">
      <c r="AC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</row>
    <row r="138" spans="1:78">
      <c r="AC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</row>
    <row r="139" spans="1:78"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16"/>
      <c r="AF139" s="16"/>
      <c r="AG139" s="16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17"/>
      <c r="BD139" s="16"/>
      <c r="BE139" s="16"/>
      <c r="BF139" s="16"/>
      <c r="BG139" s="3"/>
      <c r="BH139" s="3"/>
      <c r="BI139" s="3"/>
      <c r="BJ139" s="3">
        <v>0</v>
      </c>
      <c r="BK139" s="3"/>
      <c r="BL139" s="3">
        <v>0</v>
      </c>
      <c r="BM139" s="3"/>
      <c r="BN139" s="3"/>
      <c r="BO139" s="3"/>
      <c r="BP139" s="17"/>
      <c r="BQ139" s="3"/>
      <c r="BR139" s="17"/>
      <c r="BS139" s="3"/>
      <c r="BT139" s="3"/>
      <c r="BU139" s="3"/>
      <c r="BV139" s="3"/>
      <c r="BW139" s="3"/>
      <c r="BX139" s="17"/>
    </row>
  </sheetData>
  <mergeCells count="4">
    <mergeCell ref="A132:K132"/>
    <mergeCell ref="A66:K66"/>
    <mergeCell ref="O7:AC7"/>
    <mergeCell ref="AM7:AO7"/>
  </mergeCells>
  <phoneticPr fontId="3" type="noConversion"/>
  <pageMargins left="0.9" right="0.75" top="0.5" bottom="0.5" header="0.25" footer="0.25"/>
  <pageSetup scale="80" firstPageNumber="58" pageOrder="overThenDown" orientation="portrait" useFirstPageNumber="1" r:id="rId1"/>
  <headerFooter scaleWithDoc="0" alignWithMargins="0">
    <oddFooter>&amp;C&amp;"Times New Roman,Regular"&amp;12&amp;P</oddFooter>
  </headerFooter>
  <colBreaks count="4" manualBreakCount="4">
    <brk id="30" max="1048575" man="1"/>
    <brk id="42" max="1048575" man="1"/>
    <brk id="55" max="1048575" man="1"/>
    <brk id="7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17</vt:i4>
      </vt:variant>
    </vt:vector>
  </HeadingPairs>
  <TitlesOfParts>
    <vt:vector size="27" baseType="lpstr">
      <vt:lpstr>St of Net Assets</vt:lpstr>
      <vt:lpstr>St of Act-Rev</vt:lpstr>
      <vt:lpstr>St of Act-Exp</vt:lpstr>
      <vt:lpstr>GenBS</vt:lpstr>
      <vt:lpstr>GenRev</vt:lpstr>
      <vt:lpstr>GenExp</vt:lpstr>
      <vt:lpstr>GovBS</vt:lpstr>
      <vt:lpstr>GovRev</vt:lpstr>
      <vt:lpstr>GovExp</vt:lpstr>
      <vt:lpstr>LT_Ob</vt:lpstr>
      <vt:lpstr>GenBS!Print_Area</vt:lpstr>
      <vt:lpstr>GenExp!Print_Area</vt:lpstr>
      <vt:lpstr>GenRev!Print_Area</vt:lpstr>
      <vt:lpstr>GovBS!Print_Area</vt:lpstr>
      <vt:lpstr>LT_Ob!Print_Area</vt:lpstr>
      <vt:lpstr>'St of Act-Exp'!Print_Area</vt:lpstr>
      <vt:lpstr>'St of Net Assets'!Print_Area</vt:lpstr>
      <vt:lpstr>GenBS!Print_Titles</vt:lpstr>
      <vt:lpstr>GenExp!Print_Titles</vt:lpstr>
      <vt:lpstr>GenRev!Print_Titles</vt:lpstr>
      <vt:lpstr>GovBS!Print_Titles</vt:lpstr>
      <vt:lpstr>GovExp!Print_Titles</vt:lpstr>
      <vt:lpstr>GovRev!Print_Titles</vt:lpstr>
      <vt:lpstr>LT_Ob!Print_Titles</vt:lpstr>
      <vt:lpstr>'St of Act-Exp'!Print_Titles</vt:lpstr>
      <vt:lpstr>'St of Act-Rev'!Print_Titles</vt:lpstr>
      <vt:lpstr>'St of Net Assets'!Print_Titles</vt:lpstr>
    </vt:vector>
  </TitlesOfParts>
  <Company>Auditor of State of Ohio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A. Bizic</dc:creator>
  <cp:lastModifiedBy>Sarah E. Ramsey Mckee</cp:lastModifiedBy>
  <cp:lastPrinted>2012-07-11T14:37:29Z</cp:lastPrinted>
  <dcterms:created xsi:type="dcterms:W3CDTF">2004-12-29T15:55:54Z</dcterms:created>
  <dcterms:modified xsi:type="dcterms:W3CDTF">2012-07-25T14:29:52Z</dcterms:modified>
</cp:coreProperties>
</file>