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425" windowWidth="11355" windowHeight="6555"/>
  </bookViews>
  <sheets>
    <sheet name="St of Net Assets" sheetId="9" r:id="rId1"/>
    <sheet name="St of Act-Rev" sheetId="8" r:id="rId2"/>
    <sheet name="St of Act-Exp" sheetId="7" r:id="rId3"/>
    <sheet name="GenBS" sheetId="6" r:id="rId4"/>
    <sheet name="GenRev" sheetId="5" r:id="rId5"/>
    <sheet name="GenExp" sheetId="4" r:id="rId6"/>
    <sheet name="GovBS" sheetId="1" r:id="rId7"/>
    <sheet name="GovRev" sheetId="2" r:id="rId8"/>
    <sheet name="GovExp" sheetId="11" r:id="rId9"/>
    <sheet name="LT_Ob" sheetId="10" r:id="rId10"/>
  </sheets>
  <definedNames>
    <definedName name="_xlnm.Print_Area" localSheetId="3">GenBS!$A$1:$AC$132</definedName>
    <definedName name="_xlnm.Print_Area" localSheetId="5">GenExp!$A$1:$BU$132</definedName>
    <definedName name="_xlnm.Print_Area" localSheetId="4">GenRev!$A$1:$AU$132</definedName>
    <definedName name="_xlnm.Print_Area" localSheetId="6">GovBS!$A$1:$AC$132</definedName>
    <definedName name="_xlnm.Print_Area" localSheetId="8">GovExp!$A$1:$BX$132</definedName>
    <definedName name="_xlnm.Print_Area" localSheetId="7">GovRev!$A$1:$AT$132</definedName>
    <definedName name="_xlnm.Print_Area" localSheetId="9">LT_Ob!$A$1:$U$132</definedName>
    <definedName name="_xlnm.Print_Area" localSheetId="2">'St of Act-Exp'!$A$1:$BG$132</definedName>
    <definedName name="_xlnm.Print_Area" localSheetId="1">'St of Act-Rev'!$A$1:$AE$132</definedName>
    <definedName name="_xlnm.Print_Area" localSheetId="0">'St of Net Assets'!$A$1:$Y$132</definedName>
    <definedName name="_xlnm.Print_Titles" localSheetId="3">GenBS!$1:$11</definedName>
    <definedName name="_xlnm.Print_Titles" localSheetId="5">GenExp!$1:$11</definedName>
    <definedName name="_xlnm.Print_Titles" localSheetId="4">GenRev!$1:$11</definedName>
    <definedName name="_xlnm.Print_Titles" localSheetId="6">GovBS!$1:$11</definedName>
    <definedName name="_xlnm.Print_Titles" localSheetId="8">GovExp!$1:$11</definedName>
    <definedName name="_xlnm.Print_Titles" localSheetId="7">GovRev!$1:$11</definedName>
    <definedName name="_xlnm.Print_Titles" localSheetId="9">LT_Ob!$1:$11</definedName>
    <definedName name="_xlnm.Print_Titles" localSheetId="2">'St of Act-Exp'!$1:$11</definedName>
    <definedName name="_xlnm.Print_Titles" localSheetId="1">'St of Act-Rev'!$1:$11</definedName>
    <definedName name="_xlnm.Print_Titles" localSheetId="0">'St of Net Assets'!$1:$11</definedName>
  </definedNames>
  <calcPr calcId="145621"/>
</workbook>
</file>

<file path=xl/calcChain.xml><?xml version="1.0" encoding="utf-8"?>
<calcChain xmlns="http://schemas.openxmlformats.org/spreadsheetml/2006/main">
  <c r="K123" i="2" l="1"/>
  <c r="K123" i="5"/>
  <c r="G123" i="9"/>
  <c r="K122" i="2"/>
  <c r="G122" i="2"/>
  <c r="K122" i="5"/>
  <c r="G122" i="5"/>
  <c r="Y122" i="1"/>
  <c r="U122" i="1"/>
  <c r="Y122" i="6"/>
  <c r="U121" i="11"/>
  <c r="K121" i="2"/>
  <c r="U121" i="4"/>
  <c r="K121" i="5"/>
  <c r="U121" i="7"/>
  <c r="G121" i="9"/>
  <c r="K120" i="2"/>
  <c r="K120" i="5"/>
  <c r="K53" i="2"/>
  <c r="G53" i="2"/>
  <c r="G53" i="5"/>
  <c r="Y53" i="1"/>
  <c r="S53" i="1"/>
  <c r="Y53" i="6"/>
  <c r="S53" i="6"/>
  <c r="K52" i="2"/>
  <c r="K52" i="5"/>
  <c r="G52" i="9"/>
  <c r="K51" i="2"/>
  <c r="K51" i="5"/>
  <c r="E51" i="1"/>
  <c r="E51" i="6"/>
  <c r="M51" i="8"/>
  <c r="G51" i="9"/>
  <c r="K50" i="2" l="1"/>
  <c r="K50" i="5"/>
  <c r="W50" i="8"/>
  <c r="M50" i="8"/>
  <c r="G50" i="9"/>
  <c r="K117" i="2" l="1"/>
  <c r="K117" i="5"/>
  <c r="U117" i="1"/>
  <c r="O117" i="9"/>
  <c r="K116" i="2" l="1"/>
  <c r="G116" i="2"/>
  <c r="K116" i="5"/>
  <c r="G116" i="5"/>
  <c r="Y116" i="1"/>
  <c r="U116" i="1"/>
  <c r="Y116" i="6"/>
  <c r="O116" i="9"/>
  <c r="K49" i="2"/>
  <c r="K49" i="5"/>
  <c r="G49" i="9" l="1"/>
  <c r="O49" i="9"/>
  <c r="K114" i="2"/>
  <c r="K114" i="5"/>
  <c r="O114" i="9"/>
  <c r="K48" i="2" l="1"/>
  <c r="K48" i="5"/>
  <c r="G48" i="9"/>
  <c r="O48" i="9"/>
  <c r="AS47" i="11" l="1"/>
  <c r="G47" i="2"/>
  <c r="K47" i="2"/>
  <c r="K47" i="5"/>
  <c r="Y47" i="1"/>
  <c r="W47" i="1"/>
  <c r="U47" i="1"/>
  <c r="S47" i="1"/>
  <c r="O47" i="1"/>
  <c r="E47" i="1"/>
  <c r="Y47" i="6"/>
  <c r="S47" i="6"/>
  <c r="O47" i="6"/>
  <c r="O47" i="8"/>
  <c r="O47" i="9"/>
  <c r="G47" i="10"/>
  <c r="K46" i="2"/>
  <c r="K46" i="5"/>
  <c r="E46" i="1"/>
  <c r="M46" i="8"/>
  <c r="G46" i="9"/>
  <c r="O46" i="9"/>
  <c r="K113" i="2"/>
  <c r="K113" i="5"/>
  <c r="G113" i="9"/>
  <c r="O113" i="9"/>
  <c r="K45" i="2"/>
  <c r="K45" i="5"/>
  <c r="G45" i="9"/>
  <c r="O45" i="9"/>
  <c r="AY44" i="11" l="1"/>
  <c r="AO44" i="11"/>
  <c r="AN44" i="4"/>
  <c r="AH44" i="2"/>
  <c r="G44" i="2"/>
  <c r="K44" i="2"/>
  <c r="K44" i="5"/>
  <c r="Y44" i="1"/>
  <c r="U44" i="1"/>
  <c r="S44" i="1"/>
  <c r="O44" i="1"/>
  <c r="Y44" i="6"/>
  <c r="O44" i="6"/>
  <c r="M44" i="8"/>
  <c r="O44" i="9"/>
  <c r="M44" i="10"/>
  <c r="G61" i="2" l="1"/>
  <c r="K61" i="2"/>
  <c r="G61" i="5"/>
  <c r="K61" i="5"/>
  <c r="Y61" i="1"/>
  <c r="U61" i="1"/>
  <c r="S61" i="1"/>
  <c r="O61" i="1"/>
  <c r="E61" i="1"/>
  <c r="Y61" i="6"/>
  <c r="S61" i="6"/>
  <c r="O61" i="6"/>
  <c r="W61" i="8"/>
  <c r="M61" i="8"/>
  <c r="O61" i="9"/>
  <c r="G61" i="10"/>
  <c r="G60" i="2"/>
  <c r="K60" i="2"/>
  <c r="K60" i="5"/>
  <c r="Y60" i="1"/>
  <c r="U60" i="1"/>
  <c r="S60" i="1"/>
  <c r="O60" i="1"/>
  <c r="E60" i="1"/>
  <c r="Y60" i="6"/>
  <c r="S60" i="6"/>
  <c r="O60" i="6"/>
  <c r="E60" i="6"/>
  <c r="O60" i="9"/>
  <c r="K59" i="2"/>
  <c r="K59" i="5"/>
  <c r="M59" i="8"/>
  <c r="G59" i="9"/>
  <c r="O59" i="9"/>
  <c r="G59" i="10"/>
  <c r="K58" i="2" l="1"/>
  <c r="K58" i="5"/>
  <c r="E58" i="1"/>
  <c r="G58" i="9"/>
  <c r="O58" i="9"/>
  <c r="G125" i="2"/>
  <c r="K125" i="2"/>
  <c r="G125" i="5"/>
  <c r="K125" i="5"/>
  <c r="Y125" i="1"/>
  <c r="O125" i="1"/>
  <c r="Y125" i="6"/>
  <c r="O125" i="6"/>
  <c r="O125" i="9"/>
  <c r="G57" i="2"/>
  <c r="K57" i="2"/>
  <c r="G57" i="5"/>
  <c r="K57" i="5"/>
  <c r="Y57" i="1"/>
  <c r="W57" i="1"/>
  <c r="U57" i="1"/>
  <c r="S57" i="1"/>
  <c r="O57" i="1"/>
  <c r="Y57" i="6"/>
  <c r="O57" i="6"/>
  <c r="O57" i="9"/>
  <c r="K56" i="2" l="1"/>
  <c r="K56" i="5"/>
  <c r="G56" i="9"/>
  <c r="O56" i="9"/>
  <c r="G55" i="9"/>
  <c r="O55" i="9"/>
  <c r="K54" i="2" l="1"/>
  <c r="U54" i="1"/>
  <c r="S54" i="1"/>
  <c r="S54" i="6"/>
  <c r="G54" i="9"/>
  <c r="O54" i="9"/>
  <c r="G54" i="10"/>
  <c r="K130" i="2" l="1"/>
  <c r="K130" i="5"/>
  <c r="G130" i="9"/>
  <c r="O130" i="9"/>
  <c r="K129" i="2" l="1"/>
  <c r="K129" i="5"/>
  <c r="G129" i="9"/>
  <c r="O129" i="9"/>
  <c r="K64" i="2" l="1"/>
  <c r="K64" i="5"/>
  <c r="W64" i="8"/>
  <c r="M64" i="8"/>
  <c r="G64" i="9"/>
  <c r="O64" i="9"/>
  <c r="K63" i="2" l="1"/>
  <c r="K63" i="5"/>
  <c r="G63" i="1"/>
  <c r="G63" i="6"/>
  <c r="G63" i="9"/>
  <c r="O63" i="9"/>
  <c r="S100" i="10" l="1"/>
  <c r="S101" i="10"/>
  <c r="S102" i="10"/>
  <c r="S103" i="10"/>
  <c r="S104" i="10"/>
  <c r="S105" i="10"/>
  <c r="S106" i="10"/>
  <c r="S107" i="10"/>
  <c r="S108" i="10"/>
  <c r="S109" i="10"/>
  <c r="S110" i="10"/>
  <c r="S111" i="10"/>
  <c r="U106" i="11"/>
  <c r="K111" i="2"/>
  <c r="K110" i="2"/>
  <c r="K109" i="2"/>
  <c r="G109" i="2"/>
  <c r="K108" i="2"/>
  <c r="G108" i="2"/>
  <c r="K107" i="2"/>
  <c r="K106" i="2"/>
  <c r="K104" i="2"/>
  <c r="K102" i="2"/>
  <c r="K101" i="2"/>
  <c r="G101" i="2"/>
  <c r="AC111" i="1"/>
  <c r="AC110" i="1"/>
  <c r="Y109" i="1"/>
  <c r="AC109" i="1" s="1"/>
  <c r="S109" i="1"/>
  <c r="O109" i="1"/>
  <c r="Y108" i="1"/>
  <c r="AC108" i="1" s="1"/>
  <c r="U108" i="1"/>
  <c r="U107" i="1"/>
  <c r="S107" i="1"/>
  <c r="AC106" i="1"/>
  <c r="AC105" i="1"/>
  <c r="AC104" i="1"/>
  <c r="AC103" i="1"/>
  <c r="AC102" i="1"/>
  <c r="U101" i="1"/>
  <c r="S101" i="1"/>
  <c r="O101" i="1"/>
  <c r="AC100" i="1"/>
  <c r="U106" i="4"/>
  <c r="K111" i="5"/>
  <c r="K110" i="5"/>
  <c r="K109" i="5"/>
  <c r="K108" i="5"/>
  <c r="G108" i="5"/>
  <c r="K107" i="5"/>
  <c r="K106" i="5"/>
  <c r="K104" i="5"/>
  <c r="K102" i="5"/>
  <c r="K101" i="5"/>
  <c r="G101" i="5"/>
  <c r="Y109" i="6"/>
  <c r="O109" i="6"/>
  <c r="Y108" i="6"/>
  <c r="S107" i="6"/>
  <c r="S101" i="6"/>
  <c r="O101" i="6"/>
  <c r="G111" i="7"/>
  <c r="U106" i="7"/>
  <c r="W110" i="8"/>
  <c r="G111" i="9"/>
  <c r="G110" i="9"/>
  <c r="G107" i="9"/>
  <c r="G106" i="9"/>
  <c r="G104" i="9"/>
  <c r="U43" i="11"/>
  <c r="U41" i="11"/>
  <c r="AJ40" i="2"/>
  <c r="K43" i="2"/>
  <c r="K42" i="2"/>
  <c r="K41" i="2"/>
  <c r="K40" i="2"/>
  <c r="K39" i="2"/>
  <c r="K38" i="2"/>
  <c r="Y42" i="1"/>
  <c r="W42" i="1"/>
  <c r="U42" i="1"/>
  <c r="S42" i="1"/>
  <c r="E42" i="1"/>
  <c r="U43" i="4"/>
  <c r="U41" i="4"/>
  <c r="AK40" i="5"/>
  <c r="K43" i="5"/>
  <c r="K42" i="5"/>
  <c r="K41" i="5"/>
  <c r="K40" i="5"/>
  <c r="K39" i="5"/>
  <c r="K38" i="5"/>
  <c r="Y42" i="6"/>
  <c r="W42" i="6"/>
  <c r="S42" i="6"/>
  <c r="U43" i="7"/>
  <c r="U41" i="7"/>
  <c r="M42" i="8"/>
  <c r="O40" i="8"/>
  <c r="G43" i="9"/>
  <c r="G42" i="9"/>
  <c r="G41" i="9"/>
  <c r="G40" i="9"/>
  <c r="G39" i="9"/>
  <c r="G38" i="9"/>
  <c r="Q38" i="10"/>
  <c r="AC107" i="1" l="1"/>
  <c r="AC101" i="1"/>
  <c r="BT62" i="11"/>
  <c r="K62" i="2"/>
  <c r="K62" i="5"/>
  <c r="G62" i="9"/>
  <c r="O62" i="9"/>
  <c r="K62" i="10"/>
  <c r="G37" i="9" l="1"/>
  <c r="O37" i="9"/>
  <c r="AO98" i="11"/>
  <c r="AN98" i="4"/>
  <c r="K98" i="2"/>
  <c r="K98" i="5"/>
  <c r="G98" i="9"/>
  <c r="O98" i="9"/>
  <c r="K97" i="2" l="1"/>
  <c r="K97" i="5"/>
  <c r="O97" i="9"/>
  <c r="K96" i="2"/>
  <c r="K96" i="5"/>
  <c r="O96" i="9"/>
  <c r="K35" i="2" l="1"/>
  <c r="K35" i="5"/>
  <c r="G35" i="9"/>
  <c r="O35" i="9"/>
  <c r="G35" i="10"/>
  <c r="K95" i="2"/>
  <c r="K95" i="5"/>
  <c r="O95" i="9"/>
  <c r="G99" i="2"/>
  <c r="K99" i="2"/>
  <c r="K99" i="5"/>
  <c r="Y99" i="1"/>
  <c r="W99" i="1"/>
  <c r="U99" i="1"/>
  <c r="Y99" i="6"/>
  <c r="W99" i="6"/>
  <c r="O99" i="9"/>
  <c r="K94" i="2"/>
  <c r="K94" i="5"/>
  <c r="O94" i="9"/>
  <c r="K93" i="2"/>
  <c r="K93" i="5"/>
  <c r="O93" i="9"/>
  <c r="K34" i="2"/>
  <c r="K34" i="5"/>
  <c r="G34" i="9"/>
  <c r="O34" i="9"/>
  <c r="AO32" i="11" l="1"/>
  <c r="K32" i="2"/>
  <c r="K32" i="5"/>
  <c r="AO32" i="7"/>
  <c r="G32" i="9"/>
  <c r="O32" i="9"/>
  <c r="G88" i="9"/>
  <c r="O88" i="9"/>
  <c r="K33" i="2" l="1"/>
  <c r="K33" i="5"/>
  <c r="U33" i="1" l="1"/>
  <c r="S33" i="1"/>
  <c r="M33" i="8"/>
  <c r="G33" i="9"/>
  <c r="O33" i="9"/>
  <c r="K92" i="2"/>
  <c r="G92" i="2"/>
  <c r="G92" i="5"/>
  <c r="K92" i="5"/>
  <c r="Y92" i="1" l="1"/>
  <c r="S92" i="1"/>
  <c r="Y92" i="6"/>
  <c r="S92" i="6"/>
  <c r="O92" i="9"/>
  <c r="K90" i="2" l="1"/>
  <c r="K90" i="5"/>
  <c r="O90" i="9"/>
  <c r="K89" i="2"/>
  <c r="K89" i="5"/>
  <c r="G89" i="9"/>
  <c r="O89" i="9"/>
  <c r="AY31" i="11" l="1"/>
  <c r="AA31" i="2"/>
  <c r="K31" i="2"/>
  <c r="K31" i="5"/>
  <c r="I31" i="6"/>
  <c r="O31" i="9" l="1"/>
  <c r="G31" i="9"/>
  <c r="K87" i="2" l="1"/>
  <c r="K87" i="5"/>
  <c r="O87" i="9"/>
  <c r="K86" i="2"/>
  <c r="K86" i="5"/>
  <c r="O86" i="9"/>
  <c r="K30" i="2"/>
  <c r="K30" i="5"/>
  <c r="G30" i="9"/>
  <c r="O30" i="9"/>
  <c r="S29" i="2" l="1"/>
  <c r="K29" i="2"/>
  <c r="S29" i="5"/>
  <c r="K29" i="5"/>
  <c r="E29" i="1"/>
  <c r="E29" i="6"/>
  <c r="W29" i="8"/>
  <c r="M29" i="8"/>
  <c r="G29" i="9"/>
  <c r="O29" i="9"/>
  <c r="K85" i="2" l="1"/>
  <c r="K85" i="5"/>
  <c r="O85" i="9"/>
  <c r="K28" i="2" l="1"/>
  <c r="K28" i="5"/>
  <c r="Y28" i="1"/>
  <c r="U28" i="1"/>
  <c r="S28" i="1"/>
  <c r="O28" i="1"/>
  <c r="Y28" i="6"/>
  <c r="S28" i="6"/>
  <c r="O28" i="6"/>
  <c r="O28" i="9"/>
  <c r="K27" i="2" l="1"/>
  <c r="K27" i="5"/>
  <c r="G27" i="9" l="1"/>
  <c r="O27" i="9"/>
  <c r="G82" i="2" l="1"/>
  <c r="K82" i="2"/>
  <c r="K82" i="5"/>
  <c r="O82" i="9"/>
  <c r="M82" i="10"/>
  <c r="AS26" i="11" l="1"/>
  <c r="G26" i="2"/>
  <c r="K26" i="2"/>
  <c r="G26" i="5"/>
  <c r="K26" i="5"/>
  <c r="Y26" i="1"/>
  <c r="W26" i="1"/>
  <c r="U26" i="1"/>
  <c r="S26" i="1"/>
  <c r="O26" i="1"/>
  <c r="Y26" i="6"/>
  <c r="W26" i="6"/>
  <c r="S26" i="6"/>
  <c r="O26" i="6"/>
  <c r="M26" i="8"/>
  <c r="O26" i="9"/>
  <c r="AO25" i="11" l="1"/>
  <c r="AN25" i="4"/>
  <c r="G25" i="2"/>
  <c r="K25" i="2"/>
  <c r="K25" i="5"/>
  <c r="Y25" i="1"/>
  <c r="W25" i="1"/>
  <c r="U25" i="1"/>
  <c r="S25" i="1"/>
  <c r="O25" i="1"/>
  <c r="E25" i="1"/>
  <c r="Y25" i="6"/>
  <c r="S25" i="6"/>
  <c r="O25" i="6"/>
  <c r="E25" i="6"/>
  <c r="AY25" i="7"/>
  <c r="O25" i="9"/>
  <c r="K79" i="2" l="1"/>
  <c r="K79" i="5"/>
  <c r="G79" i="9"/>
  <c r="K24" i="2" l="1"/>
  <c r="K24" i="5"/>
  <c r="M24" i="8"/>
  <c r="G24" i="9"/>
  <c r="O24" i="9"/>
  <c r="I24" i="10"/>
  <c r="G78" i="2" l="1"/>
  <c r="K78" i="2"/>
  <c r="K78" i="5"/>
  <c r="Y78" i="1"/>
  <c r="S78" i="1"/>
  <c r="O78" i="1"/>
  <c r="Y78" i="6"/>
  <c r="S78" i="6"/>
  <c r="O78" i="6"/>
  <c r="O78" i="9"/>
  <c r="G23" i="2"/>
  <c r="K23" i="2"/>
  <c r="G23" i="5"/>
  <c r="K23" i="5"/>
  <c r="Y23" i="1"/>
  <c r="U23" i="1"/>
  <c r="O23" i="1"/>
  <c r="Y23" i="6"/>
  <c r="O23" i="6"/>
  <c r="O23" i="9"/>
  <c r="K76" i="2" l="1"/>
  <c r="K76" i="5"/>
  <c r="O76" i="9"/>
  <c r="Y75" i="1" l="1"/>
  <c r="U75" i="1"/>
  <c r="K75" i="2"/>
  <c r="K75" i="5"/>
  <c r="Y75" i="6"/>
  <c r="U75" i="6"/>
  <c r="O75" i="9"/>
  <c r="G83" i="2" l="1"/>
  <c r="K83" i="2"/>
  <c r="Y83" i="1"/>
  <c r="U83" i="1"/>
  <c r="S83" i="1"/>
  <c r="O83" i="1"/>
  <c r="G83" i="5"/>
  <c r="K83" i="5"/>
  <c r="Y83" i="6"/>
  <c r="S83" i="6"/>
  <c r="O83" i="6"/>
  <c r="S74" i="2"/>
  <c r="S19" i="2"/>
  <c r="K19" i="2"/>
  <c r="G19" i="2"/>
  <c r="S18" i="2"/>
  <c r="Y19" i="1"/>
  <c r="U19" i="1"/>
  <c r="S19" i="1"/>
  <c r="O19" i="1"/>
  <c r="U18" i="1"/>
  <c r="S18" i="1"/>
  <c r="S74" i="5"/>
  <c r="S19" i="5"/>
  <c r="S18" i="5"/>
  <c r="Y19" i="6"/>
  <c r="S19" i="6"/>
  <c r="O19" i="6"/>
  <c r="U18" i="6"/>
  <c r="S18" i="6"/>
  <c r="M18" i="6"/>
  <c r="M19" i="6"/>
  <c r="M20" i="6"/>
  <c r="M19" i="8"/>
  <c r="W18" i="8"/>
  <c r="G74" i="9"/>
  <c r="G20" i="9"/>
  <c r="G18" i="9"/>
  <c r="I65" i="1" l="1"/>
  <c r="O83" i="9"/>
  <c r="M83" i="10"/>
  <c r="K21" i="2" l="1"/>
  <c r="E21" i="1"/>
  <c r="K21" i="5"/>
  <c r="E21" i="6"/>
  <c r="M21" i="8"/>
  <c r="G21" i="9"/>
  <c r="O21" i="9"/>
  <c r="K17" i="2" l="1"/>
  <c r="K17" i="5"/>
  <c r="M17" i="8"/>
  <c r="O17" i="9"/>
  <c r="K71" i="2"/>
  <c r="K71" i="5"/>
  <c r="G71" i="9"/>
  <c r="O71" i="9"/>
  <c r="K16" i="2"/>
  <c r="K16" i="5"/>
  <c r="M16" i="8"/>
  <c r="G16" i="9"/>
  <c r="O16" i="9"/>
  <c r="K15" i="2" l="1"/>
  <c r="K15" i="5"/>
  <c r="M15" i="8"/>
  <c r="G15" i="9"/>
  <c r="O15" i="9"/>
  <c r="G15" i="10"/>
  <c r="K14" i="2" l="1"/>
  <c r="AZ70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Z85" i="4"/>
  <c r="AZ86" i="4"/>
  <c r="AZ87" i="4"/>
  <c r="AZ88" i="4"/>
  <c r="AZ89" i="4"/>
  <c r="AZ90" i="4"/>
  <c r="AZ91" i="4"/>
  <c r="AZ92" i="4"/>
  <c r="AZ93" i="4"/>
  <c r="AZ94" i="4"/>
  <c r="AZ95" i="4"/>
  <c r="AZ96" i="4"/>
  <c r="AZ97" i="4"/>
  <c r="AZ98" i="4"/>
  <c r="AZ99" i="4"/>
  <c r="AZ100" i="4"/>
  <c r="AZ101" i="4"/>
  <c r="AZ102" i="4"/>
  <c r="AZ103" i="4"/>
  <c r="AZ104" i="4"/>
  <c r="AZ105" i="4"/>
  <c r="AZ106" i="4"/>
  <c r="AZ107" i="4"/>
  <c r="AZ108" i="4"/>
  <c r="AZ109" i="4"/>
  <c r="AZ110" i="4"/>
  <c r="AZ111" i="4"/>
  <c r="AZ112" i="4"/>
  <c r="AZ113" i="4"/>
  <c r="AZ114" i="4"/>
  <c r="AZ115" i="4"/>
  <c r="AZ116" i="4"/>
  <c r="AZ117" i="4"/>
  <c r="AZ118" i="4"/>
  <c r="AZ119" i="4"/>
  <c r="AZ120" i="4"/>
  <c r="AZ121" i="4"/>
  <c r="AZ122" i="4"/>
  <c r="AZ123" i="4"/>
  <c r="AZ124" i="4"/>
  <c r="AZ125" i="4"/>
  <c r="AZ126" i="4"/>
  <c r="AZ127" i="4"/>
  <c r="AZ128" i="4"/>
  <c r="AZ129" i="4"/>
  <c r="AZ130" i="4"/>
  <c r="AZ69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14" i="4"/>
  <c r="BC14" i="11"/>
  <c r="K14" i="5"/>
  <c r="M14" i="8"/>
  <c r="G14" i="9"/>
  <c r="O14" i="9"/>
  <c r="BP14" i="11" l="1"/>
  <c r="BC15" i="11"/>
  <c r="BP15" i="11" s="1"/>
  <c r="BC16" i="11"/>
  <c r="BP16" i="11" s="1"/>
  <c r="BC17" i="11"/>
  <c r="BP17" i="11" s="1"/>
  <c r="BC18" i="11"/>
  <c r="BP18" i="11" s="1"/>
  <c r="BC19" i="11"/>
  <c r="BP19" i="11" s="1"/>
  <c r="BC20" i="11"/>
  <c r="BP20" i="11" s="1"/>
  <c r="BC21" i="11"/>
  <c r="BP21" i="11" s="1"/>
  <c r="BC22" i="11"/>
  <c r="BP22" i="11" s="1"/>
  <c r="BC23" i="11"/>
  <c r="BP23" i="11" s="1"/>
  <c r="BC24" i="11"/>
  <c r="BP24" i="11" s="1"/>
  <c r="BC25" i="11"/>
  <c r="BP25" i="11" s="1"/>
  <c r="BC26" i="11"/>
  <c r="BP26" i="11" s="1"/>
  <c r="BC27" i="11"/>
  <c r="BP27" i="11" s="1"/>
  <c r="BC28" i="11"/>
  <c r="BP28" i="11" s="1"/>
  <c r="BC29" i="11"/>
  <c r="BP29" i="11" s="1"/>
  <c r="BC30" i="11"/>
  <c r="BP30" i="11" s="1"/>
  <c r="BC31" i="11"/>
  <c r="BP31" i="11" s="1"/>
  <c r="BC32" i="11"/>
  <c r="BP32" i="11" s="1"/>
  <c r="BC33" i="11"/>
  <c r="BP33" i="11" s="1"/>
  <c r="BC34" i="11"/>
  <c r="BP34" i="11" s="1"/>
  <c r="BC35" i="11"/>
  <c r="BP35" i="11" s="1"/>
  <c r="BC36" i="11"/>
  <c r="BP36" i="11" s="1"/>
  <c r="BC37" i="11"/>
  <c r="BP37" i="11" s="1"/>
  <c r="BC38" i="11"/>
  <c r="BP38" i="11" s="1"/>
  <c r="BC39" i="11"/>
  <c r="BP39" i="11" s="1"/>
  <c r="BC40" i="11"/>
  <c r="BP40" i="11" s="1"/>
  <c r="BC41" i="11"/>
  <c r="BP41" i="11" s="1"/>
  <c r="BC42" i="11"/>
  <c r="BP42" i="11" s="1"/>
  <c r="BC43" i="11"/>
  <c r="BP43" i="11" s="1"/>
  <c r="BC44" i="11"/>
  <c r="BP44" i="11" s="1"/>
  <c r="BC45" i="11"/>
  <c r="BP45" i="11" s="1"/>
  <c r="BC46" i="11"/>
  <c r="BP46" i="11" s="1"/>
  <c r="BC47" i="11"/>
  <c r="BP47" i="11" s="1"/>
  <c r="BC48" i="11"/>
  <c r="BP48" i="11" s="1"/>
  <c r="BC49" i="11"/>
  <c r="BP49" i="11" s="1"/>
  <c r="BC50" i="11"/>
  <c r="BP50" i="11" s="1"/>
  <c r="BC51" i="11"/>
  <c r="BP51" i="11" s="1"/>
  <c r="BC52" i="11"/>
  <c r="BP52" i="11" s="1"/>
  <c r="BC53" i="11"/>
  <c r="BP53" i="11" s="1"/>
  <c r="BC54" i="11"/>
  <c r="BP54" i="11" s="1"/>
  <c r="BC55" i="11"/>
  <c r="BP55" i="11" s="1"/>
  <c r="BC56" i="11"/>
  <c r="BP56" i="11" s="1"/>
  <c r="BC57" i="11"/>
  <c r="BP57" i="11" s="1"/>
  <c r="BC58" i="11"/>
  <c r="BP58" i="11" s="1"/>
  <c r="BC59" i="11"/>
  <c r="BP59" i="11" s="1"/>
  <c r="BC60" i="11"/>
  <c r="BP60" i="11" s="1"/>
  <c r="BC61" i="11"/>
  <c r="BP61" i="11" s="1"/>
  <c r="BC62" i="11"/>
  <c r="BP62" i="11" s="1"/>
  <c r="BC63" i="11"/>
  <c r="BP63" i="11" s="1"/>
  <c r="BC64" i="11"/>
  <c r="BP64" i="11" s="1"/>
  <c r="U14" i="2"/>
  <c r="AR14" i="2"/>
  <c r="U15" i="2"/>
  <c r="AR15" i="2"/>
  <c r="U16" i="2"/>
  <c r="AR16" i="2"/>
  <c r="U17" i="2"/>
  <c r="AR17" i="2"/>
  <c r="U18" i="2"/>
  <c r="AR18" i="2"/>
  <c r="U19" i="2"/>
  <c r="AR19" i="2"/>
  <c r="U20" i="2"/>
  <c r="AR20" i="2"/>
  <c r="U21" i="2"/>
  <c r="AR21" i="2"/>
  <c r="U22" i="2"/>
  <c r="AR22" i="2"/>
  <c r="U23" i="2"/>
  <c r="AR23" i="2"/>
  <c r="U24" i="2"/>
  <c r="AR24" i="2"/>
  <c r="U25" i="2"/>
  <c r="AR25" i="2"/>
  <c r="U26" i="2"/>
  <c r="AR26" i="2"/>
  <c r="U27" i="2"/>
  <c r="AR27" i="2"/>
  <c r="U28" i="2"/>
  <c r="AR28" i="2"/>
  <c r="U29" i="2"/>
  <c r="AR29" i="2"/>
  <c r="U30" i="2"/>
  <c r="AR30" i="2"/>
  <c r="U31" i="2"/>
  <c r="AR31" i="2"/>
  <c r="U32" i="2"/>
  <c r="AR32" i="2"/>
  <c r="U33" i="2"/>
  <c r="AR33" i="2"/>
  <c r="U34" i="2"/>
  <c r="AR34" i="2"/>
  <c r="U35" i="2"/>
  <c r="AR35" i="2"/>
  <c r="U36" i="2"/>
  <c r="AR36" i="2"/>
  <c r="U37" i="2"/>
  <c r="AR37" i="2"/>
  <c r="U38" i="2"/>
  <c r="AR38" i="2"/>
  <c r="U39" i="2"/>
  <c r="AR39" i="2"/>
  <c r="U40" i="2"/>
  <c r="AR40" i="2"/>
  <c r="U41" i="2"/>
  <c r="AR41" i="2"/>
  <c r="U42" i="2"/>
  <c r="AR42" i="2"/>
  <c r="U43" i="2"/>
  <c r="AR43" i="2"/>
  <c r="U44" i="2"/>
  <c r="AR44" i="2"/>
  <c r="U45" i="2"/>
  <c r="AR45" i="2"/>
  <c r="U46" i="2"/>
  <c r="AR46" i="2"/>
  <c r="U47" i="2"/>
  <c r="AR47" i="2"/>
  <c r="U48" i="2"/>
  <c r="AR48" i="2"/>
  <c r="U49" i="2"/>
  <c r="AR49" i="2"/>
  <c r="U50" i="2"/>
  <c r="AR50" i="2"/>
  <c r="U51" i="2"/>
  <c r="AR51" i="2"/>
  <c r="U52" i="2"/>
  <c r="AR52" i="2"/>
  <c r="U53" i="2"/>
  <c r="AR53" i="2"/>
  <c r="U54" i="2"/>
  <c r="AR54" i="2"/>
  <c r="U55" i="2"/>
  <c r="AR55" i="2"/>
  <c r="U56" i="2"/>
  <c r="AR56" i="2"/>
  <c r="U57" i="2"/>
  <c r="AR57" i="2"/>
  <c r="U58" i="2"/>
  <c r="AR58" i="2"/>
  <c r="U59" i="2"/>
  <c r="AR59" i="2"/>
  <c r="U60" i="2"/>
  <c r="AR60" i="2"/>
  <c r="U61" i="2"/>
  <c r="AR61" i="2"/>
  <c r="U62" i="2"/>
  <c r="AR62" i="2"/>
  <c r="U63" i="2"/>
  <c r="AR63" i="2"/>
  <c r="U64" i="2"/>
  <c r="AR64" i="2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U14" i="5"/>
  <c r="AS14" i="5"/>
  <c r="U15" i="5"/>
  <c r="AU15" i="5" s="1"/>
  <c r="AS15" i="5"/>
  <c r="U16" i="5"/>
  <c r="AS16" i="5"/>
  <c r="U17" i="5"/>
  <c r="AS17" i="5"/>
  <c r="U18" i="5"/>
  <c r="AS18" i="5"/>
  <c r="U19" i="5"/>
  <c r="AS19" i="5"/>
  <c r="U20" i="5"/>
  <c r="AS20" i="5"/>
  <c r="U21" i="5"/>
  <c r="AU21" i="5" s="1"/>
  <c r="AS21" i="5"/>
  <c r="U22" i="5"/>
  <c r="AS22" i="5"/>
  <c r="AS23" i="5"/>
  <c r="U24" i="5"/>
  <c r="AS24" i="5"/>
  <c r="AS25" i="5"/>
  <c r="U26" i="5"/>
  <c r="AS26" i="5"/>
  <c r="U27" i="5"/>
  <c r="AS27" i="5"/>
  <c r="U28" i="5"/>
  <c r="AS28" i="5"/>
  <c r="U29" i="5"/>
  <c r="AS29" i="5"/>
  <c r="U30" i="5"/>
  <c r="AS30" i="5"/>
  <c r="U31" i="5"/>
  <c r="AS31" i="5"/>
  <c r="U32" i="5"/>
  <c r="AS32" i="5"/>
  <c r="U33" i="5"/>
  <c r="AS33" i="5"/>
  <c r="U34" i="5"/>
  <c r="AS34" i="5"/>
  <c r="U35" i="5"/>
  <c r="AS35" i="5"/>
  <c r="U36" i="5"/>
  <c r="AS36" i="5"/>
  <c r="U37" i="5"/>
  <c r="AS37" i="5"/>
  <c r="U38" i="5"/>
  <c r="AS38" i="5"/>
  <c r="U39" i="5"/>
  <c r="AS39" i="5"/>
  <c r="U40" i="5"/>
  <c r="AS40" i="5"/>
  <c r="U41" i="5"/>
  <c r="AS41" i="5"/>
  <c r="U42" i="5"/>
  <c r="AS42" i="5"/>
  <c r="U43" i="5"/>
  <c r="AS43" i="5"/>
  <c r="AS44" i="5"/>
  <c r="U45" i="5"/>
  <c r="AS45" i="5"/>
  <c r="U46" i="5"/>
  <c r="AS46" i="5"/>
  <c r="U47" i="5"/>
  <c r="AS47" i="5"/>
  <c r="U48" i="5"/>
  <c r="AS48" i="5"/>
  <c r="U49" i="5"/>
  <c r="AS49" i="5"/>
  <c r="U50" i="5"/>
  <c r="AS50" i="5"/>
  <c r="U51" i="5"/>
  <c r="AS51" i="5"/>
  <c r="U52" i="5"/>
  <c r="AS52" i="5"/>
  <c r="U53" i="5"/>
  <c r="AS53" i="5"/>
  <c r="U54" i="5"/>
  <c r="AS54" i="5"/>
  <c r="U55" i="5"/>
  <c r="AS55" i="5"/>
  <c r="U56" i="5"/>
  <c r="AS56" i="5"/>
  <c r="U57" i="5"/>
  <c r="AS57" i="5"/>
  <c r="U58" i="5"/>
  <c r="AS58" i="5"/>
  <c r="U59" i="5"/>
  <c r="AS59" i="5"/>
  <c r="U60" i="5"/>
  <c r="AS60" i="5"/>
  <c r="U61" i="5"/>
  <c r="AS61" i="5"/>
  <c r="U62" i="5"/>
  <c r="AS62" i="5"/>
  <c r="U63" i="5"/>
  <c r="AS63" i="5"/>
  <c r="U64" i="5"/>
  <c r="AS64" i="5"/>
  <c r="BA14" i="7"/>
  <c r="BA15" i="7"/>
  <c r="BA16" i="7"/>
  <c r="BA17" i="7"/>
  <c r="BA18" i="7"/>
  <c r="BA19" i="7"/>
  <c r="BA20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3" i="7"/>
  <c r="BA34" i="7"/>
  <c r="BA35" i="7"/>
  <c r="BA36" i="7"/>
  <c r="BA37" i="7"/>
  <c r="BA38" i="7"/>
  <c r="BA39" i="7"/>
  <c r="BA40" i="7"/>
  <c r="BA41" i="7"/>
  <c r="BA42" i="7"/>
  <c r="BA43" i="7"/>
  <c r="BA44" i="7"/>
  <c r="BA45" i="7"/>
  <c r="BA46" i="7"/>
  <c r="BA47" i="7"/>
  <c r="BA48" i="7"/>
  <c r="BA49" i="7"/>
  <c r="BA50" i="7"/>
  <c r="BA51" i="7"/>
  <c r="BA52" i="7"/>
  <c r="BA53" i="7"/>
  <c r="BA54" i="7"/>
  <c r="BA55" i="7"/>
  <c r="BA56" i="7"/>
  <c r="BA57" i="7"/>
  <c r="BA58" i="7"/>
  <c r="BA59" i="7"/>
  <c r="BA60" i="7"/>
  <c r="BA61" i="7"/>
  <c r="BA62" i="7"/>
  <c r="BA63" i="7"/>
  <c r="BA64" i="7"/>
  <c r="S14" i="10"/>
  <c r="W14" i="10"/>
  <c r="S15" i="10"/>
  <c r="W15" i="10"/>
  <c r="S16" i="10"/>
  <c r="W16" i="10"/>
  <c r="S17" i="10"/>
  <c r="W17" i="10"/>
  <c r="S18" i="10"/>
  <c r="W18" i="10"/>
  <c r="S19" i="10"/>
  <c r="W19" i="10"/>
  <c r="S20" i="10"/>
  <c r="W20" i="10"/>
  <c r="S21" i="10"/>
  <c r="W21" i="10"/>
  <c r="S22" i="10"/>
  <c r="W22" i="10"/>
  <c r="S23" i="10"/>
  <c r="W23" i="10"/>
  <c r="S24" i="10"/>
  <c r="W24" i="10"/>
  <c r="S25" i="10"/>
  <c r="W25" i="10"/>
  <c r="S26" i="10"/>
  <c r="W26" i="10"/>
  <c r="S27" i="10"/>
  <c r="W27" i="10"/>
  <c r="S28" i="10"/>
  <c r="W28" i="10"/>
  <c r="S29" i="10"/>
  <c r="W29" i="10"/>
  <c r="S30" i="10"/>
  <c r="W30" i="10"/>
  <c r="S31" i="10"/>
  <c r="W31" i="10"/>
  <c r="S32" i="10"/>
  <c r="W32" i="10"/>
  <c r="S33" i="10"/>
  <c r="W33" i="10"/>
  <c r="S34" i="10"/>
  <c r="W34" i="10"/>
  <c r="S35" i="10"/>
  <c r="W35" i="10"/>
  <c r="S36" i="10"/>
  <c r="W36" i="10"/>
  <c r="S37" i="10"/>
  <c r="W37" i="10"/>
  <c r="S38" i="10"/>
  <c r="W38" i="10"/>
  <c r="S39" i="10"/>
  <c r="W39" i="10"/>
  <c r="S40" i="10"/>
  <c r="W40" i="10"/>
  <c r="S41" i="10"/>
  <c r="W41" i="10"/>
  <c r="S42" i="10"/>
  <c r="W42" i="10"/>
  <c r="S43" i="10"/>
  <c r="W43" i="10"/>
  <c r="S44" i="10"/>
  <c r="W44" i="10"/>
  <c r="S45" i="10"/>
  <c r="W45" i="10"/>
  <c r="S46" i="10"/>
  <c r="W46" i="10"/>
  <c r="S47" i="10"/>
  <c r="W47" i="10"/>
  <c r="S48" i="10"/>
  <c r="W48" i="10"/>
  <c r="S49" i="10"/>
  <c r="W49" i="10"/>
  <c r="S50" i="10"/>
  <c r="W50" i="10"/>
  <c r="S51" i="10"/>
  <c r="W51" i="10"/>
  <c r="S52" i="10"/>
  <c r="W52" i="10"/>
  <c r="S53" i="10"/>
  <c r="W53" i="10"/>
  <c r="S54" i="10"/>
  <c r="W54" i="10"/>
  <c r="S55" i="10"/>
  <c r="W55" i="10"/>
  <c r="S56" i="10"/>
  <c r="W56" i="10"/>
  <c r="S57" i="10"/>
  <c r="W57" i="10"/>
  <c r="S58" i="10"/>
  <c r="W58" i="10"/>
  <c r="S59" i="10"/>
  <c r="W59" i="10"/>
  <c r="S60" i="10"/>
  <c r="W60" i="10"/>
  <c r="S61" i="10"/>
  <c r="W61" i="10"/>
  <c r="S62" i="10"/>
  <c r="W62" i="10"/>
  <c r="S63" i="10"/>
  <c r="W63" i="10"/>
  <c r="S64" i="10"/>
  <c r="W64" i="10"/>
  <c r="I14" i="1"/>
  <c r="M14" i="1"/>
  <c r="AC14" i="1"/>
  <c r="I15" i="1"/>
  <c r="M15" i="1"/>
  <c r="AC15" i="1"/>
  <c r="I16" i="1"/>
  <c r="M16" i="1"/>
  <c r="AC16" i="1"/>
  <c r="I17" i="1"/>
  <c r="M17" i="1"/>
  <c r="AC17" i="1"/>
  <c r="I18" i="1"/>
  <c r="M18" i="1"/>
  <c r="AC18" i="1"/>
  <c r="I19" i="1"/>
  <c r="M19" i="1"/>
  <c r="AC19" i="1"/>
  <c r="I20" i="1"/>
  <c r="M20" i="1"/>
  <c r="AC20" i="1"/>
  <c r="I21" i="1"/>
  <c r="M21" i="1"/>
  <c r="AC21" i="1"/>
  <c r="I22" i="1"/>
  <c r="M22" i="1"/>
  <c r="AC22" i="1"/>
  <c r="I23" i="1"/>
  <c r="M23" i="1"/>
  <c r="AC23" i="1"/>
  <c r="I24" i="1"/>
  <c r="M24" i="1"/>
  <c r="AC24" i="1"/>
  <c r="I25" i="1"/>
  <c r="M25" i="1"/>
  <c r="AC25" i="1"/>
  <c r="I26" i="1"/>
  <c r="M26" i="1"/>
  <c r="AC26" i="1"/>
  <c r="I27" i="1"/>
  <c r="M27" i="1"/>
  <c r="AC27" i="1"/>
  <c r="I28" i="1"/>
  <c r="M28" i="1"/>
  <c r="AC28" i="1"/>
  <c r="I29" i="1"/>
  <c r="M29" i="1"/>
  <c r="AC29" i="1"/>
  <c r="I30" i="1"/>
  <c r="M30" i="1"/>
  <c r="AC30" i="1"/>
  <c r="I31" i="1"/>
  <c r="M31" i="1"/>
  <c r="AC31" i="1"/>
  <c r="I32" i="1"/>
  <c r="M32" i="1"/>
  <c r="AC32" i="1"/>
  <c r="I33" i="1"/>
  <c r="M33" i="1"/>
  <c r="AC33" i="1"/>
  <c r="I34" i="1"/>
  <c r="M34" i="1"/>
  <c r="AC34" i="1"/>
  <c r="I35" i="1"/>
  <c r="M35" i="1"/>
  <c r="AC35" i="1"/>
  <c r="I36" i="1"/>
  <c r="M36" i="1"/>
  <c r="AC36" i="1"/>
  <c r="I37" i="1"/>
  <c r="M37" i="1"/>
  <c r="AC37" i="1"/>
  <c r="I38" i="1"/>
  <c r="M38" i="1"/>
  <c r="AC38" i="1"/>
  <c r="I39" i="1"/>
  <c r="M39" i="1"/>
  <c r="AC39" i="1"/>
  <c r="I40" i="1"/>
  <c r="M40" i="1"/>
  <c r="AC40" i="1"/>
  <c r="I41" i="1"/>
  <c r="M41" i="1"/>
  <c r="AC41" i="1"/>
  <c r="I42" i="1"/>
  <c r="M42" i="1"/>
  <c r="AC42" i="1"/>
  <c r="I43" i="1"/>
  <c r="M43" i="1"/>
  <c r="AC43" i="1"/>
  <c r="I44" i="1"/>
  <c r="M44" i="1"/>
  <c r="AC44" i="1"/>
  <c r="I45" i="1"/>
  <c r="M45" i="1"/>
  <c r="AC45" i="1"/>
  <c r="I46" i="1"/>
  <c r="M46" i="1"/>
  <c r="AC46" i="1"/>
  <c r="I47" i="1"/>
  <c r="M47" i="1"/>
  <c r="AC47" i="1"/>
  <c r="I48" i="1"/>
  <c r="M48" i="1"/>
  <c r="AC48" i="1"/>
  <c r="I49" i="1"/>
  <c r="M49" i="1"/>
  <c r="AC49" i="1"/>
  <c r="I50" i="1"/>
  <c r="M50" i="1"/>
  <c r="AC50" i="1"/>
  <c r="I51" i="1"/>
  <c r="M51" i="1"/>
  <c r="AC51" i="1"/>
  <c r="I52" i="1"/>
  <c r="M52" i="1"/>
  <c r="AC52" i="1"/>
  <c r="I53" i="1"/>
  <c r="M53" i="1"/>
  <c r="AC53" i="1"/>
  <c r="I54" i="1"/>
  <c r="M54" i="1"/>
  <c r="AC54" i="1"/>
  <c r="I55" i="1"/>
  <c r="M55" i="1"/>
  <c r="AC55" i="1"/>
  <c r="I56" i="1"/>
  <c r="M56" i="1"/>
  <c r="AC56" i="1"/>
  <c r="I57" i="1"/>
  <c r="M57" i="1"/>
  <c r="AC57" i="1"/>
  <c r="I58" i="1"/>
  <c r="M58" i="1"/>
  <c r="AC58" i="1"/>
  <c r="I59" i="1"/>
  <c r="M59" i="1"/>
  <c r="AE59" i="1" s="1"/>
  <c r="AC59" i="1"/>
  <c r="I60" i="1"/>
  <c r="M60" i="1"/>
  <c r="AC60" i="1"/>
  <c r="I61" i="1"/>
  <c r="M61" i="1"/>
  <c r="AC61" i="1"/>
  <c r="I62" i="1"/>
  <c r="M62" i="1"/>
  <c r="AC62" i="1"/>
  <c r="I63" i="1"/>
  <c r="M63" i="1"/>
  <c r="AC63" i="1"/>
  <c r="I64" i="1"/>
  <c r="M64" i="1"/>
  <c r="AC64" i="1"/>
  <c r="I14" i="6"/>
  <c r="M14" i="6"/>
  <c r="AC14" i="6"/>
  <c r="I15" i="6"/>
  <c r="M15" i="6"/>
  <c r="AC15" i="6"/>
  <c r="I16" i="6"/>
  <c r="M16" i="6"/>
  <c r="AC16" i="6"/>
  <c r="I17" i="6"/>
  <c r="M17" i="6"/>
  <c r="AC17" i="6"/>
  <c r="I18" i="6"/>
  <c r="AC18" i="6"/>
  <c r="I19" i="6"/>
  <c r="AC19" i="6"/>
  <c r="I20" i="6"/>
  <c r="AC20" i="6"/>
  <c r="I21" i="6"/>
  <c r="M21" i="6"/>
  <c r="AC21" i="6"/>
  <c r="I22" i="6"/>
  <c r="M22" i="6"/>
  <c r="AC22" i="6"/>
  <c r="I23" i="6"/>
  <c r="M23" i="6"/>
  <c r="AC23" i="6"/>
  <c r="I24" i="6"/>
  <c r="M24" i="6"/>
  <c r="AC24" i="6"/>
  <c r="I25" i="6"/>
  <c r="M25" i="6"/>
  <c r="AC25" i="6"/>
  <c r="I26" i="6"/>
  <c r="M26" i="6"/>
  <c r="AC26" i="6"/>
  <c r="I27" i="6"/>
  <c r="M27" i="6"/>
  <c r="AC27" i="6"/>
  <c r="I28" i="6"/>
  <c r="M28" i="6"/>
  <c r="AC28" i="6"/>
  <c r="I29" i="6"/>
  <c r="M29" i="6"/>
  <c r="AC29" i="6"/>
  <c r="I30" i="6"/>
  <c r="M30" i="6"/>
  <c r="AC30" i="6"/>
  <c r="M31" i="6"/>
  <c r="AC31" i="6"/>
  <c r="I32" i="6"/>
  <c r="M32" i="6"/>
  <c r="AC32" i="6"/>
  <c r="I33" i="6"/>
  <c r="M33" i="6"/>
  <c r="AC33" i="6"/>
  <c r="I34" i="6"/>
  <c r="M34" i="6"/>
  <c r="AC34" i="6"/>
  <c r="I35" i="6"/>
  <c r="M35" i="6"/>
  <c r="AC35" i="6"/>
  <c r="I36" i="6"/>
  <c r="M36" i="6"/>
  <c r="AC36" i="6"/>
  <c r="I37" i="6"/>
  <c r="M37" i="6"/>
  <c r="AC37" i="6"/>
  <c r="I38" i="6"/>
  <c r="M38" i="6"/>
  <c r="AC38" i="6"/>
  <c r="I39" i="6"/>
  <c r="M39" i="6"/>
  <c r="AC39" i="6"/>
  <c r="I40" i="6"/>
  <c r="M40" i="6"/>
  <c r="AC40" i="6"/>
  <c r="I41" i="6"/>
  <c r="M41" i="6"/>
  <c r="AC41" i="6"/>
  <c r="I42" i="6"/>
  <c r="M42" i="6"/>
  <c r="AC42" i="6"/>
  <c r="I43" i="6"/>
  <c r="M43" i="6"/>
  <c r="AC43" i="6"/>
  <c r="I44" i="6"/>
  <c r="M44" i="6"/>
  <c r="AC44" i="6"/>
  <c r="I45" i="6"/>
  <c r="M45" i="6"/>
  <c r="AC45" i="6"/>
  <c r="I46" i="6"/>
  <c r="M46" i="6"/>
  <c r="AC46" i="6"/>
  <c r="I47" i="6"/>
  <c r="M47" i="6"/>
  <c r="AC47" i="6"/>
  <c r="I48" i="6"/>
  <c r="M48" i="6"/>
  <c r="AC48" i="6"/>
  <c r="I49" i="6"/>
  <c r="M49" i="6"/>
  <c r="AC49" i="6"/>
  <c r="I50" i="6"/>
  <c r="M50" i="6"/>
  <c r="AC50" i="6"/>
  <c r="I51" i="6"/>
  <c r="M51" i="6"/>
  <c r="AC51" i="6"/>
  <c r="I52" i="6"/>
  <c r="M52" i="6"/>
  <c r="AC52" i="6"/>
  <c r="I53" i="6"/>
  <c r="M53" i="6"/>
  <c r="AC53" i="6"/>
  <c r="I54" i="6"/>
  <c r="M54" i="6"/>
  <c r="AC54" i="6"/>
  <c r="I55" i="6"/>
  <c r="M55" i="6"/>
  <c r="AC55" i="6"/>
  <c r="I56" i="6"/>
  <c r="M56" i="6"/>
  <c r="AC56" i="6"/>
  <c r="I57" i="6"/>
  <c r="M57" i="6"/>
  <c r="AC57" i="6"/>
  <c r="I58" i="6"/>
  <c r="M58" i="6"/>
  <c r="AC58" i="6"/>
  <c r="I59" i="6"/>
  <c r="M59" i="6"/>
  <c r="AC59" i="6"/>
  <c r="I60" i="6"/>
  <c r="M60" i="6"/>
  <c r="AC60" i="6"/>
  <c r="I61" i="6"/>
  <c r="M61" i="6"/>
  <c r="AC61" i="6"/>
  <c r="I62" i="6"/>
  <c r="M62" i="6"/>
  <c r="AC62" i="6"/>
  <c r="I63" i="6"/>
  <c r="M63" i="6"/>
  <c r="AC63" i="6"/>
  <c r="I64" i="6"/>
  <c r="M64" i="6"/>
  <c r="AC64" i="6"/>
  <c r="AE65" i="6"/>
  <c r="AE66" i="6"/>
  <c r="K14" i="8"/>
  <c r="AA14" i="8"/>
  <c r="K15" i="8"/>
  <c r="AA15" i="8"/>
  <c r="K16" i="8"/>
  <c r="AA16" i="8"/>
  <c r="AE16" i="8" s="1"/>
  <c r="K17" i="8"/>
  <c r="AA17" i="8"/>
  <c r="K18" i="8"/>
  <c r="AA18" i="8"/>
  <c r="K19" i="8"/>
  <c r="AA19" i="8"/>
  <c r="K20" i="8"/>
  <c r="AA20" i="8"/>
  <c r="AE20" i="8" s="1"/>
  <c r="K21" i="8"/>
  <c r="AA21" i="8"/>
  <c r="K22" i="8"/>
  <c r="AA22" i="8"/>
  <c r="K23" i="8"/>
  <c r="AA23" i="8"/>
  <c r="K24" i="8"/>
  <c r="AA24" i="8"/>
  <c r="K25" i="8"/>
  <c r="AA25" i="8"/>
  <c r="K26" i="8"/>
  <c r="AA26" i="8"/>
  <c r="K27" i="8"/>
  <c r="AA27" i="8"/>
  <c r="K28" i="8"/>
  <c r="AA28" i="8"/>
  <c r="K29" i="8"/>
  <c r="AA29" i="8"/>
  <c r="K30" i="8"/>
  <c r="AA30" i="8"/>
  <c r="K31" i="8"/>
  <c r="AA31" i="8"/>
  <c r="K32" i="8"/>
  <c r="AA32" i="8"/>
  <c r="K33" i="8"/>
  <c r="AA33" i="8"/>
  <c r="K34" i="8"/>
  <c r="AA34" i="8"/>
  <c r="AE34" i="8" s="1"/>
  <c r="K35" i="8"/>
  <c r="AA35" i="8"/>
  <c r="K36" i="8"/>
  <c r="AA36" i="8"/>
  <c r="K37" i="8"/>
  <c r="AA37" i="8"/>
  <c r="K38" i="8"/>
  <c r="AA38" i="8"/>
  <c r="K39" i="8"/>
  <c r="AA39" i="8"/>
  <c r="K40" i="8"/>
  <c r="AA40" i="8"/>
  <c r="K41" i="8"/>
  <c r="AA41" i="8"/>
  <c r="K42" i="8"/>
  <c r="AA42" i="8"/>
  <c r="K43" i="8"/>
  <c r="AA43" i="8"/>
  <c r="K44" i="8"/>
  <c r="AA44" i="8"/>
  <c r="K45" i="8"/>
  <c r="AA45" i="8"/>
  <c r="K46" i="8"/>
  <c r="AA46" i="8"/>
  <c r="K47" i="8"/>
  <c r="AA47" i="8"/>
  <c r="K48" i="8"/>
  <c r="AA48" i="8"/>
  <c r="K49" i="8"/>
  <c r="AA49" i="8"/>
  <c r="K50" i="8"/>
  <c r="AA50" i="8"/>
  <c r="K51" i="8"/>
  <c r="AA51" i="8"/>
  <c r="K52" i="8"/>
  <c r="AA52" i="8"/>
  <c r="K53" i="8"/>
  <c r="AA53" i="8"/>
  <c r="K54" i="8"/>
  <c r="AA54" i="8"/>
  <c r="K55" i="8"/>
  <c r="AA55" i="8"/>
  <c r="K56" i="8"/>
  <c r="AA56" i="8"/>
  <c r="K57" i="8"/>
  <c r="AA57" i="8"/>
  <c r="K58" i="8"/>
  <c r="AA58" i="8"/>
  <c r="K59" i="8"/>
  <c r="AA59" i="8"/>
  <c r="K60" i="8"/>
  <c r="AA60" i="8"/>
  <c r="K61" i="8"/>
  <c r="AA61" i="8"/>
  <c r="K62" i="8"/>
  <c r="AA62" i="8"/>
  <c r="K63" i="8"/>
  <c r="AA63" i="8"/>
  <c r="K64" i="8"/>
  <c r="AA64" i="8"/>
  <c r="E14" i="9"/>
  <c r="K14" i="9"/>
  <c r="U14" i="9"/>
  <c r="AA14" i="9"/>
  <c r="E15" i="9"/>
  <c r="K15" i="9"/>
  <c r="U15" i="9"/>
  <c r="AA15" i="9"/>
  <c r="E16" i="9"/>
  <c r="K16" i="9"/>
  <c r="U16" i="9"/>
  <c r="AA16" i="9"/>
  <c r="E17" i="9"/>
  <c r="K17" i="9"/>
  <c r="U17" i="9"/>
  <c r="AA17" i="9"/>
  <c r="E18" i="9"/>
  <c r="K18" i="9"/>
  <c r="U18" i="9"/>
  <c r="AA18" i="9"/>
  <c r="E19" i="9"/>
  <c r="K19" i="9"/>
  <c r="U19" i="9"/>
  <c r="AA19" i="9"/>
  <c r="E20" i="9"/>
  <c r="K20" i="9"/>
  <c r="U20" i="9"/>
  <c r="AA20" i="9"/>
  <c r="E21" i="9"/>
  <c r="K21" i="9"/>
  <c r="U21" i="9"/>
  <c r="AA21" i="9"/>
  <c r="E22" i="9"/>
  <c r="K22" i="9"/>
  <c r="U22" i="9"/>
  <c r="AA22" i="9"/>
  <c r="E23" i="9"/>
  <c r="K23" i="9"/>
  <c r="U23" i="9"/>
  <c r="AA23" i="9"/>
  <c r="E24" i="9"/>
  <c r="K24" i="9"/>
  <c r="U24" i="9"/>
  <c r="AA24" i="9"/>
  <c r="E25" i="9"/>
  <c r="K25" i="9"/>
  <c r="U25" i="9"/>
  <c r="AA25" i="9"/>
  <c r="E26" i="9"/>
  <c r="K26" i="9"/>
  <c r="U26" i="9"/>
  <c r="AA26" i="9"/>
  <c r="E27" i="9"/>
  <c r="K27" i="9"/>
  <c r="U27" i="9"/>
  <c r="AA27" i="9"/>
  <c r="E28" i="9"/>
  <c r="K28" i="9"/>
  <c r="U28" i="9"/>
  <c r="AA28" i="9"/>
  <c r="E29" i="9"/>
  <c r="K29" i="9"/>
  <c r="U29" i="9"/>
  <c r="AA29" i="9"/>
  <c r="E30" i="9"/>
  <c r="K30" i="9"/>
  <c r="U30" i="9"/>
  <c r="AA30" i="9"/>
  <c r="E31" i="9"/>
  <c r="K31" i="9"/>
  <c r="U31" i="9"/>
  <c r="AA31" i="9"/>
  <c r="E32" i="9"/>
  <c r="K32" i="9"/>
  <c r="U32" i="9"/>
  <c r="AA32" i="9"/>
  <c r="E33" i="9"/>
  <c r="K33" i="9"/>
  <c r="U33" i="9"/>
  <c r="AA33" i="9"/>
  <c r="E34" i="9"/>
  <c r="K34" i="9"/>
  <c r="U34" i="9"/>
  <c r="AA34" i="9"/>
  <c r="E35" i="9"/>
  <c r="K35" i="9"/>
  <c r="U35" i="9"/>
  <c r="AA35" i="9"/>
  <c r="E36" i="9"/>
  <c r="K36" i="9"/>
  <c r="U36" i="9"/>
  <c r="AA36" i="9"/>
  <c r="E37" i="9"/>
  <c r="K37" i="9"/>
  <c r="U37" i="9"/>
  <c r="AA37" i="9"/>
  <c r="E38" i="9"/>
  <c r="K38" i="9"/>
  <c r="U38" i="9"/>
  <c r="AA38" i="9"/>
  <c r="E39" i="9"/>
  <c r="K39" i="9"/>
  <c r="U39" i="9"/>
  <c r="AA39" i="9"/>
  <c r="E40" i="9"/>
  <c r="K40" i="9"/>
  <c r="U40" i="9"/>
  <c r="AA40" i="9"/>
  <c r="E41" i="9"/>
  <c r="K41" i="9"/>
  <c r="U41" i="9"/>
  <c r="AA41" i="9"/>
  <c r="E42" i="9"/>
  <c r="K42" i="9"/>
  <c r="U42" i="9"/>
  <c r="AA42" i="9"/>
  <c r="E43" i="9"/>
  <c r="K43" i="9"/>
  <c r="U43" i="9"/>
  <c r="AA43" i="9"/>
  <c r="E44" i="9"/>
  <c r="K44" i="9"/>
  <c r="U44" i="9"/>
  <c r="AA44" i="9"/>
  <c r="E45" i="9"/>
  <c r="K45" i="9"/>
  <c r="U45" i="9"/>
  <c r="AA45" i="9"/>
  <c r="E46" i="9"/>
  <c r="K46" i="9"/>
  <c r="U46" i="9"/>
  <c r="AA46" i="9"/>
  <c r="E47" i="9"/>
  <c r="K47" i="9"/>
  <c r="U47" i="9"/>
  <c r="AA47" i="9"/>
  <c r="E48" i="9"/>
  <c r="K48" i="9"/>
  <c r="U48" i="9"/>
  <c r="AA48" i="9"/>
  <c r="E49" i="9"/>
  <c r="K49" i="9"/>
  <c r="U49" i="9"/>
  <c r="AA49" i="9"/>
  <c r="E50" i="9"/>
  <c r="K50" i="9"/>
  <c r="U50" i="9"/>
  <c r="AA50" i="9"/>
  <c r="E51" i="9"/>
  <c r="K51" i="9"/>
  <c r="U51" i="9"/>
  <c r="AA51" i="9"/>
  <c r="E52" i="9"/>
  <c r="K52" i="9"/>
  <c r="U52" i="9"/>
  <c r="AA52" i="9"/>
  <c r="E53" i="9"/>
  <c r="K53" i="9"/>
  <c r="U53" i="9"/>
  <c r="AA53" i="9"/>
  <c r="E54" i="9"/>
  <c r="K54" i="9"/>
  <c r="U54" i="9"/>
  <c r="AA54" i="9"/>
  <c r="E55" i="9"/>
  <c r="K55" i="9"/>
  <c r="U55" i="9"/>
  <c r="AA55" i="9"/>
  <c r="E56" i="9"/>
  <c r="K56" i="9"/>
  <c r="U56" i="9"/>
  <c r="AA56" i="9"/>
  <c r="E57" i="9"/>
  <c r="K57" i="9"/>
  <c r="U57" i="9"/>
  <c r="AA57" i="9"/>
  <c r="E58" i="9"/>
  <c r="K58" i="9"/>
  <c r="U58" i="9"/>
  <c r="AA58" i="9"/>
  <c r="E59" i="9"/>
  <c r="K59" i="9"/>
  <c r="U59" i="9"/>
  <c r="AA59" i="9"/>
  <c r="E60" i="9"/>
  <c r="K60" i="9"/>
  <c r="U60" i="9"/>
  <c r="AA60" i="9"/>
  <c r="E61" i="9"/>
  <c r="K61" i="9"/>
  <c r="U61" i="9"/>
  <c r="AA61" i="9"/>
  <c r="E62" i="9"/>
  <c r="K62" i="9"/>
  <c r="U62" i="9"/>
  <c r="AA62" i="9"/>
  <c r="E63" i="9"/>
  <c r="K63" i="9"/>
  <c r="U63" i="9"/>
  <c r="AA63" i="9"/>
  <c r="E64" i="9"/>
  <c r="K64" i="9"/>
  <c r="U64" i="9"/>
  <c r="AA64" i="9"/>
  <c r="AE45" i="1" l="1"/>
  <c r="AE37" i="1"/>
  <c r="AU56" i="5"/>
  <c r="BO56" i="4" s="1"/>
  <c r="BU56" i="4" s="1"/>
  <c r="BW56" i="4" s="1"/>
  <c r="AU54" i="5"/>
  <c r="BO54" i="4" s="1"/>
  <c r="BU54" i="4" s="1"/>
  <c r="BW54" i="4" s="1"/>
  <c r="AU52" i="5"/>
  <c r="AU50" i="5"/>
  <c r="BO50" i="4" s="1"/>
  <c r="BU50" i="4" s="1"/>
  <c r="BW50" i="4" s="1"/>
  <c r="AU22" i="5"/>
  <c r="BO22" i="4" s="1"/>
  <c r="BU22" i="4" s="1"/>
  <c r="BW22" i="4" s="1"/>
  <c r="AE53" i="8"/>
  <c r="BC53" i="7" s="1"/>
  <c r="BG53" i="7" s="1"/>
  <c r="BI53" i="7" s="1"/>
  <c r="AE49" i="1"/>
  <c r="AE49" i="8"/>
  <c r="AE45" i="8"/>
  <c r="BC45" i="7" s="1"/>
  <c r="BG45" i="7" s="1"/>
  <c r="BI45" i="7" s="1"/>
  <c r="AE44" i="6"/>
  <c r="AE61" i="1"/>
  <c r="AE57" i="8"/>
  <c r="BC57" i="7" s="1"/>
  <c r="BG57" i="7" s="1"/>
  <c r="BI57" i="7" s="1"/>
  <c r="AE55" i="8"/>
  <c r="AE63" i="1"/>
  <c r="AE39" i="8"/>
  <c r="BC39" i="7" s="1"/>
  <c r="BG39" i="7" s="1"/>
  <c r="BI39" i="7" s="1"/>
  <c r="AE43" i="8"/>
  <c r="AE35" i="1"/>
  <c r="AE31" i="8"/>
  <c r="BC31" i="7" s="1"/>
  <c r="BG31" i="7" s="1"/>
  <c r="BI31" i="7" s="1"/>
  <c r="AC26" i="9"/>
  <c r="AT30" i="2"/>
  <c r="BR30" i="11" s="1"/>
  <c r="BX30" i="11" s="1"/>
  <c r="BZ30" i="11" s="1"/>
  <c r="AT52" i="2"/>
  <c r="BR52" i="11" s="1"/>
  <c r="BX52" i="11" s="1"/>
  <c r="BZ52" i="11" s="1"/>
  <c r="AT51" i="2"/>
  <c r="BR51" i="11" s="1"/>
  <c r="BX51" i="11" s="1"/>
  <c r="BZ51" i="11" s="1"/>
  <c r="AT48" i="2"/>
  <c r="BR48" i="11" s="1"/>
  <c r="BX48" i="11" s="1"/>
  <c r="BZ48" i="11" s="1"/>
  <c r="AT42" i="2"/>
  <c r="BR42" i="11" s="1"/>
  <c r="BX42" i="11" s="1"/>
  <c r="BZ42" i="11" s="1"/>
  <c r="AT41" i="2"/>
  <c r="BR41" i="11" s="1"/>
  <c r="BX41" i="11" s="1"/>
  <c r="BZ41" i="11" s="1"/>
  <c r="AT24" i="2"/>
  <c r="BR24" i="11" s="1"/>
  <c r="BX24" i="11" s="1"/>
  <c r="BZ24" i="11" s="1"/>
  <c r="AT22" i="2"/>
  <c r="BR22" i="11" s="1"/>
  <c r="BX22" i="11" s="1"/>
  <c r="BZ22" i="11" s="1"/>
  <c r="AT20" i="2"/>
  <c r="BR20" i="11" s="1"/>
  <c r="BX20" i="11" s="1"/>
  <c r="BZ20" i="11" s="1"/>
  <c r="AU28" i="5"/>
  <c r="BO28" i="4" s="1"/>
  <c r="BU28" i="4" s="1"/>
  <c r="BW28" i="4" s="1"/>
  <c r="AU26" i="5"/>
  <c r="BO26" i="4" s="1"/>
  <c r="BU26" i="4" s="1"/>
  <c r="BW26" i="4" s="1"/>
  <c r="AE49" i="6"/>
  <c r="AE41" i="6"/>
  <c r="AE37" i="6"/>
  <c r="AE33" i="6"/>
  <c r="AE29" i="6"/>
  <c r="AE25" i="6"/>
  <c r="AE64" i="6"/>
  <c r="AE18" i="8"/>
  <c r="BC18" i="7" s="1"/>
  <c r="BG18" i="7" s="1"/>
  <c r="BI18" i="7" s="1"/>
  <c r="AE60" i="8"/>
  <c r="BC60" i="7" s="1"/>
  <c r="BG60" i="7" s="1"/>
  <c r="BI60" i="7" s="1"/>
  <c r="AE28" i="8"/>
  <c r="AE56" i="8"/>
  <c r="BC56" i="7" s="1"/>
  <c r="BG56" i="7" s="1"/>
  <c r="BI56" i="7" s="1"/>
  <c r="AE54" i="8"/>
  <c r="BC54" i="7" s="1"/>
  <c r="BG54" i="7" s="1"/>
  <c r="BI54" i="7" s="1"/>
  <c r="AE44" i="8"/>
  <c r="BC44" i="7" s="1"/>
  <c r="BG44" i="7" s="1"/>
  <c r="BI44" i="7" s="1"/>
  <c r="AE42" i="8"/>
  <c r="BC42" i="7" s="1"/>
  <c r="BG42" i="7" s="1"/>
  <c r="BI42" i="7" s="1"/>
  <c r="AE40" i="8"/>
  <c r="BC40" i="7" s="1"/>
  <c r="BG40" i="7" s="1"/>
  <c r="BI40" i="7" s="1"/>
  <c r="AE38" i="8"/>
  <c r="BC38" i="7" s="1"/>
  <c r="BG38" i="7" s="1"/>
  <c r="BI38" i="7" s="1"/>
  <c r="AE32" i="8"/>
  <c r="BC32" i="7" s="1"/>
  <c r="BG32" i="7" s="1"/>
  <c r="BI32" i="7" s="1"/>
  <c r="AE30" i="8"/>
  <c r="BC30" i="7" s="1"/>
  <c r="BG30" i="7" s="1"/>
  <c r="BI30" i="7" s="1"/>
  <c r="AE61" i="8"/>
  <c r="BC61" i="7" s="1"/>
  <c r="BG61" i="7" s="1"/>
  <c r="BI61" i="7" s="1"/>
  <c r="AE59" i="8"/>
  <c r="BC59" i="7" s="1"/>
  <c r="BG59" i="7" s="1"/>
  <c r="BI59" i="7" s="1"/>
  <c r="AE24" i="8"/>
  <c r="BC24" i="7" s="1"/>
  <c r="BG24" i="7" s="1"/>
  <c r="BI24" i="7" s="1"/>
  <c r="AT21" i="2"/>
  <c r="BR21" i="11" s="1"/>
  <c r="BX21" i="11" s="1"/>
  <c r="BZ21" i="11" s="1"/>
  <c r="AE21" i="6"/>
  <c r="AE16" i="1"/>
  <c r="AT34" i="2"/>
  <c r="BR34" i="11" s="1"/>
  <c r="BX34" i="11" s="1"/>
  <c r="BZ34" i="11" s="1"/>
  <c r="AE14" i="6"/>
  <c r="AE14" i="8"/>
  <c r="BC14" i="7" s="1"/>
  <c r="BG14" i="7" s="1"/>
  <c r="BI14" i="7" s="1"/>
  <c r="AT55" i="2"/>
  <c r="BR55" i="11" s="1"/>
  <c r="BX55" i="11" s="1"/>
  <c r="BZ55" i="11" s="1"/>
  <c r="AT32" i="2"/>
  <c r="BR32" i="11" s="1"/>
  <c r="BX32" i="11" s="1"/>
  <c r="BZ32" i="11" s="1"/>
  <c r="AT18" i="2"/>
  <c r="BR18" i="11" s="1"/>
  <c r="BX18" i="11" s="1"/>
  <c r="BZ18" i="11" s="1"/>
  <c r="AT14" i="2"/>
  <c r="BR14" i="11" s="1"/>
  <c r="BX14" i="11" s="1"/>
  <c r="BZ14" i="11" s="1"/>
  <c r="AT28" i="2"/>
  <c r="BR28" i="11" s="1"/>
  <c r="BX28" i="11" s="1"/>
  <c r="BZ28" i="11" s="1"/>
  <c r="AT27" i="2"/>
  <c r="BR27" i="11" s="1"/>
  <c r="BX27" i="11" s="1"/>
  <c r="BZ27" i="11" s="1"/>
  <c r="AT25" i="2"/>
  <c r="BR25" i="11" s="1"/>
  <c r="BX25" i="11" s="1"/>
  <c r="BZ25" i="11" s="1"/>
  <c r="AT23" i="2"/>
  <c r="BR23" i="11" s="1"/>
  <c r="BX23" i="11" s="1"/>
  <c r="BZ23" i="11" s="1"/>
  <c r="AT54" i="2"/>
  <c r="BR54" i="11" s="1"/>
  <c r="BX54" i="11" s="1"/>
  <c r="BZ54" i="11" s="1"/>
  <c r="AT58" i="2"/>
  <c r="BR58" i="11" s="1"/>
  <c r="BX58" i="11" s="1"/>
  <c r="BZ58" i="11" s="1"/>
  <c r="AT57" i="2"/>
  <c r="BR57" i="11" s="1"/>
  <c r="BX57" i="11" s="1"/>
  <c r="BZ57" i="11" s="1"/>
  <c r="AT37" i="2"/>
  <c r="BR37" i="11" s="1"/>
  <c r="BX37" i="11" s="1"/>
  <c r="BZ37" i="11" s="1"/>
  <c r="AT36" i="2"/>
  <c r="BR36" i="11" s="1"/>
  <c r="BX36" i="11" s="1"/>
  <c r="BZ36" i="11" s="1"/>
  <c r="AT35" i="2"/>
  <c r="BR35" i="11" s="1"/>
  <c r="BX35" i="11" s="1"/>
  <c r="BZ35" i="11" s="1"/>
  <c r="AT16" i="2"/>
  <c r="BR16" i="11" s="1"/>
  <c r="BX16" i="11" s="1"/>
  <c r="BZ16" i="11" s="1"/>
  <c r="AT43" i="2"/>
  <c r="BR43" i="11" s="1"/>
  <c r="BX43" i="11" s="1"/>
  <c r="BZ43" i="11" s="1"/>
  <c r="AT39" i="2"/>
  <c r="BR39" i="11" s="1"/>
  <c r="BX39" i="11" s="1"/>
  <c r="BZ39" i="11" s="1"/>
  <c r="AT53" i="2"/>
  <c r="BR53" i="11" s="1"/>
  <c r="BX53" i="11" s="1"/>
  <c r="BZ53" i="11" s="1"/>
  <c r="AT40" i="2"/>
  <c r="BR40" i="11" s="1"/>
  <c r="BX40" i="11" s="1"/>
  <c r="BZ40" i="11" s="1"/>
  <c r="AT29" i="2"/>
  <c r="BR29" i="11" s="1"/>
  <c r="BX29" i="11" s="1"/>
  <c r="BZ29" i="11" s="1"/>
  <c r="AT19" i="2"/>
  <c r="BR19" i="11" s="1"/>
  <c r="BX19" i="11" s="1"/>
  <c r="BZ19" i="11" s="1"/>
  <c r="AT63" i="2"/>
  <c r="BR63" i="11" s="1"/>
  <c r="BX63" i="11" s="1"/>
  <c r="BZ63" i="11" s="1"/>
  <c r="AT62" i="2"/>
  <c r="BR62" i="11" s="1"/>
  <c r="BX62" i="11" s="1"/>
  <c r="BZ62" i="11" s="1"/>
  <c r="AT60" i="2"/>
  <c r="BR60" i="11" s="1"/>
  <c r="BX60" i="11" s="1"/>
  <c r="BZ60" i="11" s="1"/>
  <c r="AT50" i="2"/>
  <c r="BR50" i="11" s="1"/>
  <c r="BX50" i="11" s="1"/>
  <c r="BZ50" i="11" s="1"/>
  <c r="AT45" i="2"/>
  <c r="BR45" i="11" s="1"/>
  <c r="BX45" i="11" s="1"/>
  <c r="BZ45" i="11" s="1"/>
  <c r="AT33" i="2"/>
  <c r="BR33" i="11" s="1"/>
  <c r="BX33" i="11" s="1"/>
  <c r="BZ33" i="11" s="1"/>
  <c r="AE62" i="1"/>
  <c r="AE58" i="1"/>
  <c r="AE38" i="1"/>
  <c r="AE32" i="1"/>
  <c r="AE24" i="1"/>
  <c r="AE20" i="1"/>
  <c r="AE60" i="1"/>
  <c r="AE56" i="1"/>
  <c r="AE52" i="1"/>
  <c r="AE44" i="1"/>
  <c r="AE40" i="1"/>
  <c r="AE34" i="1"/>
  <c r="AE30" i="1"/>
  <c r="AE42" i="1"/>
  <c r="AE28" i="1"/>
  <c r="AE14" i="1"/>
  <c r="AE64" i="1"/>
  <c r="AE29" i="1"/>
  <c r="AE21" i="1"/>
  <c r="AE17" i="1"/>
  <c r="AE15" i="1"/>
  <c r="AE51" i="1"/>
  <c r="AE25" i="1"/>
  <c r="AE50" i="1"/>
  <c r="AE39" i="1"/>
  <c r="AE53" i="1"/>
  <c r="AE48" i="1"/>
  <c r="AE43" i="1"/>
  <c r="AE26" i="1"/>
  <c r="AE23" i="1"/>
  <c r="AE22" i="1"/>
  <c r="AE57" i="1"/>
  <c r="AE55" i="1"/>
  <c r="AE54" i="1"/>
  <c r="AE46" i="1"/>
  <c r="AE41" i="1"/>
  <c r="AE36" i="1"/>
  <c r="AE33" i="1"/>
  <c r="AE31" i="1"/>
  <c r="AE27" i="1"/>
  <c r="AE19" i="1"/>
  <c r="AE18" i="1"/>
  <c r="BO52" i="4"/>
  <c r="BU52" i="4" s="1"/>
  <c r="BW52" i="4" s="1"/>
  <c r="AU61" i="5"/>
  <c r="BO61" i="4" s="1"/>
  <c r="BU61" i="4" s="1"/>
  <c r="BW61" i="4" s="1"/>
  <c r="AU57" i="5"/>
  <c r="BO57" i="4" s="1"/>
  <c r="BU57" i="4" s="1"/>
  <c r="BW57" i="4" s="1"/>
  <c r="AU55" i="5"/>
  <c r="BO55" i="4" s="1"/>
  <c r="BU55" i="4" s="1"/>
  <c r="BW55" i="4" s="1"/>
  <c r="AU49" i="5"/>
  <c r="BO49" i="4" s="1"/>
  <c r="BU49" i="4" s="1"/>
  <c r="BW49" i="4" s="1"/>
  <c r="AU45" i="5"/>
  <c r="BO45" i="4" s="1"/>
  <c r="BU45" i="4" s="1"/>
  <c r="BW45" i="4" s="1"/>
  <c r="AU41" i="5"/>
  <c r="BO41" i="4" s="1"/>
  <c r="BU41" i="4" s="1"/>
  <c r="BW41" i="4" s="1"/>
  <c r="AU34" i="5"/>
  <c r="BO34" i="4" s="1"/>
  <c r="BU34" i="4" s="1"/>
  <c r="BW34" i="4" s="1"/>
  <c r="AU31" i="5"/>
  <c r="BO31" i="4" s="1"/>
  <c r="BU31" i="4" s="1"/>
  <c r="BW31" i="4" s="1"/>
  <c r="AU24" i="5"/>
  <c r="BO24" i="4" s="1"/>
  <c r="BU24" i="4" s="1"/>
  <c r="BW24" i="4" s="1"/>
  <c r="AU29" i="5"/>
  <c r="BO29" i="4" s="1"/>
  <c r="BU29" i="4" s="1"/>
  <c r="BW29" i="4" s="1"/>
  <c r="AU63" i="5"/>
  <c r="BO63" i="4" s="1"/>
  <c r="BU63" i="4" s="1"/>
  <c r="BW63" i="4" s="1"/>
  <c r="AU40" i="5"/>
  <c r="BO40" i="4" s="1"/>
  <c r="BU40" i="4" s="1"/>
  <c r="BW40" i="4" s="1"/>
  <c r="AU37" i="5"/>
  <c r="BO37" i="4" s="1"/>
  <c r="BU37" i="4" s="1"/>
  <c r="BW37" i="4" s="1"/>
  <c r="AU36" i="5"/>
  <c r="BO36" i="4" s="1"/>
  <c r="BU36" i="4" s="1"/>
  <c r="BW36" i="4" s="1"/>
  <c r="AU33" i="5"/>
  <c r="BO33" i="4" s="1"/>
  <c r="BU33" i="4" s="1"/>
  <c r="BW33" i="4" s="1"/>
  <c r="AU20" i="5"/>
  <c r="BO20" i="4" s="1"/>
  <c r="BU20" i="4" s="1"/>
  <c r="BW20" i="4" s="1"/>
  <c r="AU19" i="5"/>
  <c r="BO19" i="4" s="1"/>
  <c r="BU19" i="4" s="1"/>
  <c r="BW19" i="4" s="1"/>
  <c r="AU14" i="5"/>
  <c r="BO14" i="4" s="1"/>
  <c r="BU14" i="4" s="1"/>
  <c r="BW14" i="4" s="1"/>
  <c r="AE63" i="6"/>
  <c r="AE55" i="6"/>
  <c r="AE47" i="6"/>
  <c r="AE35" i="6"/>
  <c r="AE27" i="6"/>
  <c r="AE61" i="6"/>
  <c r="AE16" i="6"/>
  <c r="AE59" i="6"/>
  <c r="AE51" i="6"/>
  <c r="AE39" i="6"/>
  <c r="AE31" i="6"/>
  <c r="AE42" i="6"/>
  <c r="AE26" i="6"/>
  <c r="AE18" i="6"/>
  <c r="AE62" i="6"/>
  <c r="AE58" i="6"/>
  <c r="AE50" i="6"/>
  <c r="AE46" i="6"/>
  <c r="AE40" i="6"/>
  <c r="AE36" i="6"/>
  <c r="AE32" i="6"/>
  <c r="AE24" i="6"/>
  <c r="AE20" i="6"/>
  <c r="AE15" i="6"/>
  <c r="AE60" i="6"/>
  <c r="AE56" i="6"/>
  <c r="AE52" i="6"/>
  <c r="AE48" i="6"/>
  <c r="AE38" i="6"/>
  <c r="AE34" i="6"/>
  <c r="AE30" i="6"/>
  <c r="AE22" i="6"/>
  <c r="AE17" i="6"/>
  <c r="AE28" i="6"/>
  <c r="AE19" i="6"/>
  <c r="AE54" i="6"/>
  <c r="AE53" i="6"/>
  <c r="AE45" i="6"/>
  <c r="AE43" i="6"/>
  <c r="AE41" i="8"/>
  <c r="BC41" i="7" s="1"/>
  <c r="BG41" i="7" s="1"/>
  <c r="BI41" i="7" s="1"/>
  <c r="AE37" i="8"/>
  <c r="BC37" i="7" s="1"/>
  <c r="BG37" i="7" s="1"/>
  <c r="BI37" i="7" s="1"/>
  <c r="AE33" i="8"/>
  <c r="BC33" i="7" s="1"/>
  <c r="BG33" i="7" s="1"/>
  <c r="BI33" i="7" s="1"/>
  <c r="AE29" i="8"/>
  <c r="BC29" i="7" s="1"/>
  <c r="BG29" i="7" s="1"/>
  <c r="BI29" i="7" s="1"/>
  <c r="AE22" i="8"/>
  <c r="BC22" i="7" s="1"/>
  <c r="BG22" i="7" s="1"/>
  <c r="BI22" i="7" s="1"/>
  <c r="AE62" i="8"/>
  <c r="BC62" i="7" s="1"/>
  <c r="BG62" i="7" s="1"/>
  <c r="BI62" i="7" s="1"/>
  <c r="AE23" i="8"/>
  <c r="BC23" i="7" s="1"/>
  <c r="BG23" i="7" s="1"/>
  <c r="BI23" i="7" s="1"/>
  <c r="AE17" i="8"/>
  <c r="BC17" i="7" s="1"/>
  <c r="BG17" i="7" s="1"/>
  <c r="BI17" i="7" s="1"/>
  <c r="AE15" i="8"/>
  <c r="BC15" i="7" s="1"/>
  <c r="BG15" i="7" s="1"/>
  <c r="BI15" i="7" s="1"/>
  <c r="AC36" i="9"/>
  <c r="BC55" i="7"/>
  <c r="BG55" i="7" s="1"/>
  <c r="BI55" i="7" s="1"/>
  <c r="AE25" i="8"/>
  <c r="BC25" i="7" s="1"/>
  <c r="BG25" i="7" s="1"/>
  <c r="BI25" i="7" s="1"/>
  <c r="AE63" i="8"/>
  <c r="BC63" i="7" s="1"/>
  <c r="BG63" i="7" s="1"/>
  <c r="BI63" i="7" s="1"/>
  <c r="BC34" i="7"/>
  <c r="BG34" i="7" s="1"/>
  <c r="BI34" i="7" s="1"/>
  <c r="AE58" i="8"/>
  <c r="BC58" i="7" s="1"/>
  <c r="BG58" i="7" s="1"/>
  <c r="BI58" i="7" s="1"/>
  <c r="AE51" i="8"/>
  <c r="BC51" i="7" s="1"/>
  <c r="BG51" i="7" s="1"/>
  <c r="BI51" i="7" s="1"/>
  <c r="AE47" i="8"/>
  <c r="BC47" i="7" s="1"/>
  <c r="BG47" i="7" s="1"/>
  <c r="BI47" i="7" s="1"/>
  <c r="AE36" i="8"/>
  <c r="BC36" i="7" s="1"/>
  <c r="BG36" i="7" s="1"/>
  <c r="BI36" i="7" s="1"/>
  <c r="AE27" i="8"/>
  <c r="BC27" i="7" s="1"/>
  <c r="BG27" i="7" s="1"/>
  <c r="BI27" i="7" s="1"/>
  <c r="AE19" i="8"/>
  <c r="BC19" i="7" s="1"/>
  <c r="BG19" i="7" s="1"/>
  <c r="BI19" i="7" s="1"/>
  <c r="BC49" i="7"/>
  <c r="BG49" i="7" s="1"/>
  <c r="BI49" i="7" s="1"/>
  <c r="BC43" i="7"/>
  <c r="BG43" i="7" s="1"/>
  <c r="BI43" i="7" s="1"/>
  <c r="BC16" i="7"/>
  <c r="BG16" i="7" s="1"/>
  <c r="BI16" i="7" s="1"/>
  <c r="BC28" i="7"/>
  <c r="BG28" i="7" s="1"/>
  <c r="BI28" i="7" s="1"/>
  <c r="AE64" i="8"/>
  <c r="BC64" i="7" s="1"/>
  <c r="BG64" i="7" s="1"/>
  <c r="BI64" i="7" s="1"/>
  <c r="AE52" i="8"/>
  <c r="BC52" i="7" s="1"/>
  <c r="BG52" i="7" s="1"/>
  <c r="BI52" i="7" s="1"/>
  <c r="AE50" i="8"/>
  <c r="BC50" i="7" s="1"/>
  <c r="BG50" i="7" s="1"/>
  <c r="BI50" i="7" s="1"/>
  <c r="AE48" i="8"/>
  <c r="BC48" i="7" s="1"/>
  <c r="BG48" i="7" s="1"/>
  <c r="BI48" i="7" s="1"/>
  <c r="AE46" i="8"/>
  <c r="BC46" i="7" s="1"/>
  <c r="BG46" i="7" s="1"/>
  <c r="BI46" i="7" s="1"/>
  <c r="AE35" i="8"/>
  <c r="BC35" i="7" s="1"/>
  <c r="BG35" i="7" s="1"/>
  <c r="BI35" i="7" s="1"/>
  <c r="AE26" i="8"/>
  <c r="BC26" i="7" s="1"/>
  <c r="BG26" i="7" s="1"/>
  <c r="BI26" i="7" s="1"/>
  <c r="AE21" i="8"/>
  <c r="BC21" i="7" s="1"/>
  <c r="BG21" i="7" s="1"/>
  <c r="BI21" i="7" s="1"/>
  <c r="BC20" i="7"/>
  <c r="BG20" i="7" s="1"/>
  <c r="BI20" i="7" s="1"/>
  <c r="AC25" i="9"/>
  <c r="AC17" i="9"/>
  <c r="AC64" i="9"/>
  <c r="AC63" i="9"/>
  <c r="AC62" i="9"/>
  <c r="AC60" i="9"/>
  <c r="AC48" i="9"/>
  <c r="AC38" i="9"/>
  <c r="AC24" i="9"/>
  <c r="AC21" i="9"/>
  <c r="AC20" i="9"/>
  <c r="AC18" i="9"/>
  <c r="AC59" i="9"/>
  <c r="AC58" i="9"/>
  <c r="AC57" i="9"/>
  <c r="AC56" i="9"/>
  <c r="AC55" i="9"/>
  <c r="AC54" i="9"/>
  <c r="AC53" i="9"/>
  <c r="AC52" i="9"/>
  <c r="AC51" i="9"/>
  <c r="AC50" i="9"/>
  <c r="AC49" i="9"/>
  <c r="AC46" i="9"/>
  <c r="AC45" i="9"/>
  <c r="AC43" i="9"/>
  <c r="AC40" i="9"/>
  <c r="AC39" i="9"/>
  <c r="AC31" i="9"/>
  <c r="AC16" i="9"/>
  <c r="AC15" i="9"/>
  <c r="AC14" i="9"/>
  <c r="AC34" i="9"/>
  <c r="AC33" i="9"/>
  <c r="AC32" i="9"/>
  <c r="AC30" i="9"/>
  <c r="AC28" i="9"/>
  <c r="AC27" i="9"/>
  <c r="AC23" i="9"/>
  <c r="AC61" i="9"/>
  <c r="AC44" i="9"/>
  <c r="AC29" i="9"/>
  <c r="AC22" i="9"/>
  <c r="AC19" i="9"/>
  <c r="AC42" i="9"/>
  <c r="AU32" i="5"/>
  <c r="BO32" i="4" s="1"/>
  <c r="BU32" i="4" s="1"/>
  <c r="BW32" i="4" s="1"/>
  <c r="AU59" i="5"/>
  <c r="BO59" i="4" s="1"/>
  <c r="BU59" i="4" s="1"/>
  <c r="BW59" i="4" s="1"/>
  <c r="BO21" i="4"/>
  <c r="BU21" i="4" s="1"/>
  <c r="BW21" i="4" s="1"/>
  <c r="AU64" i="5"/>
  <c r="BO64" i="4" s="1"/>
  <c r="BU64" i="4" s="1"/>
  <c r="BW64" i="4" s="1"/>
  <c r="AU46" i="5"/>
  <c r="BO46" i="4" s="1"/>
  <c r="BU46" i="4" s="1"/>
  <c r="BW46" i="4" s="1"/>
  <c r="U44" i="5"/>
  <c r="AU44" i="5" s="1"/>
  <c r="BO44" i="4" s="1"/>
  <c r="BU44" i="4" s="1"/>
  <c r="BW44" i="4" s="1"/>
  <c r="AU43" i="5"/>
  <c r="BO43" i="4" s="1"/>
  <c r="BU43" i="4" s="1"/>
  <c r="BW43" i="4" s="1"/>
  <c r="U25" i="5"/>
  <c r="AU25" i="5" s="1"/>
  <c r="BO25" i="4" s="1"/>
  <c r="BU25" i="4" s="1"/>
  <c r="BW25" i="4" s="1"/>
  <c r="AU17" i="5"/>
  <c r="BO17" i="4" s="1"/>
  <c r="BU17" i="4" s="1"/>
  <c r="BW17" i="4" s="1"/>
  <c r="AU58" i="5"/>
  <c r="BO58" i="4" s="1"/>
  <c r="BU58" i="4" s="1"/>
  <c r="BW58" i="4" s="1"/>
  <c r="AU51" i="5"/>
  <c r="BO51" i="4" s="1"/>
  <c r="BU51" i="4" s="1"/>
  <c r="BW51" i="4" s="1"/>
  <c r="AU48" i="5"/>
  <c r="BO48" i="4" s="1"/>
  <c r="BU48" i="4" s="1"/>
  <c r="BW48" i="4" s="1"/>
  <c r="AU42" i="5"/>
  <c r="BO42" i="4" s="1"/>
  <c r="BU42" i="4" s="1"/>
  <c r="BW42" i="4" s="1"/>
  <c r="AU39" i="5"/>
  <c r="BO39" i="4" s="1"/>
  <c r="BU39" i="4" s="1"/>
  <c r="BW39" i="4" s="1"/>
  <c r="AU35" i="5"/>
  <c r="BO35" i="4" s="1"/>
  <c r="BU35" i="4" s="1"/>
  <c r="BW35" i="4" s="1"/>
  <c r="AU27" i="5"/>
  <c r="BO27" i="4" s="1"/>
  <c r="BU27" i="4" s="1"/>
  <c r="BW27" i="4" s="1"/>
  <c r="U23" i="5"/>
  <c r="AU23" i="5" s="1"/>
  <c r="BO23" i="4" s="1"/>
  <c r="BU23" i="4" s="1"/>
  <c r="BW23" i="4" s="1"/>
  <c r="AU16" i="5"/>
  <c r="BO16" i="4" s="1"/>
  <c r="BU16" i="4" s="1"/>
  <c r="BW16" i="4" s="1"/>
  <c r="BO15" i="4"/>
  <c r="BU15" i="4" s="1"/>
  <c r="BW15" i="4" s="1"/>
  <c r="AU62" i="5"/>
  <c r="BO62" i="4" s="1"/>
  <c r="BU62" i="4" s="1"/>
  <c r="BW62" i="4" s="1"/>
  <c r="AU60" i="5"/>
  <c r="BO60" i="4" s="1"/>
  <c r="BU60" i="4" s="1"/>
  <c r="BW60" i="4" s="1"/>
  <c r="AU53" i="5"/>
  <c r="BO53" i="4" s="1"/>
  <c r="BU53" i="4" s="1"/>
  <c r="BW53" i="4" s="1"/>
  <c r="AU47" i="5"/>
  <c r="BO47" i="4" s="1"/>
  <c r="BU47" i="4" s="1"/>
  <c r="BW47" i="4" s="1"/>
  <c r="AU38" i="5"/>
  <c r="BO38" i="4" s="1"/>
  <c r="BU38" i="4" s="1"/>
  <c r="BW38" i="4" s="1"/>
  <c r="AU30" i="5"/>
  <c r="BO30" i="4" s="1"/>
  <c r="BU30" i="4" s="1"/>
  <c r="BW30" i="4" s="1"/>
  <c r="AU18" i="5"/>
  <c r="BO18" i="4" s="1"/>
  <c r="BU18" i="4" s="1"/>
  <c r="BW18" i="4" s="1"/>
  <c r="AT61" i="2"/>
  <c r="BR61" i="11" s="1"/>
  <c r="BX61" i="11" s="1"/>
  <c r="BZ61" i="11" s="1"/>
  <c r="AT59" i="2"/>
  <c r="BR59" i="11" s="1"/>
  <c r="BX59" i="11" s="1"/>
  <c r="BZ59" i="11" s="1"/>
  <c r="AT56" i="2"/>
  <c r="BR56" i="11" s="1"/>
  <c r="BX56" i="11" s="1"/>
  <c r="BZ56" i="11" s="1"/>
  <c r="AT47" i="2"/>
  <c r="BR47" i="11" s="1"/>
  <c r="BX47" i="11" s="1"/>
  <c r="BZ47" i="11" s="1"/>
  <c r="AT38" i="2"/>
  <c r="BR38" i="11" s="1"/>
  <c r="BX38" i="11" s="1"/>
  <c r="BZ38" i="11" s="1"/>
  <c r="AT31" i="2"/>
  <c r="BR31" i="11" s="1"/>
  <c r="BX31" i="11" s="1"/>
  <c r="BZ31" i="11" s="1"/>
  <c r="AT26" i="2"/>
  <c r="BR26" i="11" s="1"/>
  <c r="BX26" i="11" s="1"/>
  <c r="BZ26" i="11" s="1"/>
  <c r="AT15" i="2"/>
  <c r="BR15" i="11" s="1"/>
  <c r="BX15" i="11" s="1"/>
  <c r="BZ15" i="11" s="1"/>
  <c r="AT44" i="2"/>
  <c r="BR44" i="11" s="1"/>
  <c r="BX44" i="11" s="1"/>
  <c r="BZ44" i="11" s="1"/>
  <c r="AT64" i="2"/>
  <c r="BR64" i="11" s="1"/>
  <c r="BX64" i="11" s="1"/>
  <c r="BZ64" i="11" s="1"/>
  <c r="AT49" i="2"/>
  <c r="BR49" i="11" s="1"/>
  <c r="BX49" i="11" s="1"/>
  <c r="BZ49" i="11" s="1"/>
  <c r="AT46" i="2"/>
  <c r="BR46" i="11" s="1"/>
  <c r="BX46" i="11" s="1"/>
  <c r="BZ46" i="11" s="1"/>
  <c r="AT17" i="2"/>
  <c r="BR17" i="11" s="1"/>
  <c r="BX17" i="11" s="1"/>
  <c r="BZ17" i="11" s="1"/>
  <c r="AE47" i="1"/>
  <c r="AE57" i="6"/>
  <c r="AE23" i="6"/>
  <c r="AC35" i="9"/>
  <c r="AC47" i="9"/>
  <c r="AC41" i="9"/>
  <c r="AC37" i="9"/>
  <c r="AS109" i="5" l="1"/>
  <c r="U124" i="9" l="1"/>
  <c r="U79" i="2" l="1"/>
  <c r="U77" i="2"/>
  <c r="U76" i="2"/>
  <c r="U75" i="2"/>
  <c r="U78" i="2" l="1"/>
  <c r="I121" i="6" l="1"/>
  <c r="U119" i="9" l="1"/>
  <c r="BC82" i="11" l="1"/>
  <c r="BP82" i="11" s="1"/>
  <c r="AR82" i="2"/>
  <c r="U82" i="2"/>
  <c r="AC82" i="1"/>
  <c r="M82" i="1"/>
  <c r="I82" i="1"/>
  <c r="BM82" i="4"/>
  <c r="AS82" i="5"/>
  <c r="U82" i="5"/>
  <c r="AC82" i="6"/>
  <c r="M82" i="6"/>
  <c r="I82" i="6"/>
  <c r="BA82" i="7"/>
  <c r="AA82" i="8"/>
  <c r="K82" i="8"/>
  <c r="AA82" i="9"/>
  <c r="U82" i="9"/>
  <c r="E82" i="9"/>
  <c r="K82" i="9"/>
  <c r="W82" i="10"/>
  <c r="S82" i="10"/>
  <c r="AC82" i="9" l="1"/>
  <c r="AE82" i="1"/>
  <c r="AE82" i="8"/>
  <c r="BC82" i="7" s="1"/>
  <c r="BG82" i="7" s="1"/>
  <c r="BI82" i="7" s="1"/>
  <c r="AU82" i="5"/>
  <c r="BO82" i="4" s="1"/>
  <c r="AE82" i="6"/>
  <c r="AT82" i="2"/>
  <c r="BR82" i="11" s="1"/>
  <c r="BX82" i="11" s="1"/>
  <c r="BZ82" i="11" s="1"/>
  <c r="BU82" i="4" l="1"/>
  <c r="BW82" i="4" s="1"/>
  <c r="AC130" i="1" l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3" i="1"/>
  <c r="AC85" i="1"/>
  <c r="AC84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130" i="6"/>
  <c r="AC129" i="6"/>
  <c r="AC128" i="6"/>
  <c r="AC127" i="6"/>
  <c r="AC126" i="6"/>
  <c r="AC125" i="6"/>
  <c r="AC124" i="6"/>
  <c r="AC123" i="6"/>
  <c r="AC122" i="6"/>
  <c r="AC121" i="6"/>
  <c r="AC120" i="6"/>
  <c r="AC119" i="6"/>
  <c r="AC118" i="6"/>
  <c r="AC117" i="6"/>
  <c r="AC116" i="6"/>
  <c r="AC115" i="6"/>
  <c r="AC114" i="6"/>
  <c r="AC113" i="6"/>
  <c r="AC112" i="6"/>
  <c r="AC111" i="6"/>
  <c r="AC110" i="6"/>
  <c r="AC109" i="6"/>
  <c r="AC108" i="6"/>
  <c r="AC107" i="6"/>
  <c r="AC106" i="6"/>
  <c r="AC105" i="6"/>
  <c r="AC104" i="6"/>
  <c r="AC103" i="6"/>
  <c r="AC102" i="6"/>
  <c r="AC101" i="6"/>
  <c r="AC100" i="6"/>
  <c r="AC99" i="6"/>
  <c r="AC98" i="6"/>
  <c r="AC97" i="6"/>
  <c r="AC96" i="6"/>
  <c r="AC95" i="6"/>
  <c r="AC94" i="6"/>
  <c r="AC93" i="6"/>
  <c r="AC92" i="6"/>
  <c r="AC91" i="6"/>
  <c r="AC90" i="6"/>
  <c r="AC89" i="6"/>
  <c r="AC88" i="6"/>
  <c r="AC87" i="6"/>
  <c r="AC86" i="6"/>
  <c r="AC83" i="6"/>
  <c r="AC85" i="6"/>
  <c r="AC84" i="6"/>
  <c r="AC81" i="6"/>
  <c r="AC80" i="6"/>
  <c r="AC79" i="6"/>
  <c r="AC78" i="6"/>
  <c r="AC77" i="6"/>
  <c r="AC76" i="6"/>
  <c r="AC75" i="6"/>
  <c r="AC74" i="6"/>
  <c r="AC73" i="6"/>
  <c r="AC72" i="6"/>
  <c r="AC71" i="6"/>
  <c r="AC70" i="6"/>
  <c r="AC69" i="6"/>
  <c r="AA109" i="9"/>
  <c r="U128" i="9"/>
  <c r="K128" i="9"/>
  <c r="E128" i="9"/>
  <c r="U109" i="9"/>
  <c r="K109" i="9"/>
  <c r="E109" i="9"/>
  <c r="AA109" i="8"/>
  <c r="K109" i="8"/>
  <c r="M128" i="6"/>
  <c r="I128" i="6"/>
  <c r="M109" i="6"/>
  <c r="I109" i="6"/>
  <c r="U109" i="5"/>
  <c r="AU109" i="5" s="1"/>
  <c r="BM109" i="4"/>
  <c r="BM128" i="4"/>
  <c r="M109" i="1"/>
  <c r="I109" i="1"/>
  <c r="M128" i="1"/>
  <c r="I128" i="1"/>
  <c r="AR128" i="2"/>
  <c r="AR127" i="2"/>
  <c r="AR109" i="2"/>
  <c r="U109" i="2"/>
  <c r="BC128" i="11"/>
  <c r="BP128" i="11" s="1"/>
  <c r="BC109" i="11"/>
  <c r="BP109" i="11" s="1"/>
  <c r="W109" i="10"/>
  <c r="BA109" i="7"/>
  <c r="U70" i="9"/>
  <c r="AE109" i="6" l="1"/>
  <c r="AE128" i="6"/>
  <c r="AE128" i="1"/>
  <c r="AE109" i="1"/>
  <c r="AT109" i="2"/>
  <c r="BR109" i="11" s="1"/>
  <c r="BX109" i="11" s="1"/>
  <c r="BZ109" i="11" s="1"/>
  <c r="AE109" i="8"/>
  <c r="BC109" i="7" s="1"/>
  <c r="BG109" i="7" s="1"/>
  <c r="BI109" i="7" s="1"/>
  <c r="BO109" i="4"/>
  <c r="BU109" i="4" s="1"/>
  <c r="BW109" i="4" s="1"/>
  <c r="AC109" i="9"/>
  <c r="U128" i="2"/>
  <c r="AT128" i="2" s="1"/>
  <c r="BR128" i="11" s="1"/>
  <c r="BX128" i="11" s="1"/>
  <c r="I129" i="1"/>
  <c r="M129" i="1"/>
  <c r="BA129" i="7"/>
  <c r="U129" i="2"/>
  <c r="U129" i="5"/>
  <c r="AE129" i="1" l="1"/>
  <c r="BZ128" i="11"/>
  <c r="W108" i="10" l="1"/>
  <c r="BC108" i="11"/>
  <c r="BP108" i="11" s="1"/>
  <c r="AR108" i="2"/>
  <c r="U108" i="2"/>
  <c r="M108" i="1"/>
  <c r="I108" i="1"/>
  <c r="BM108" i="4"/>
  <c r="AS108" i="5"/>
  <c r="M108" i="6"/>
  <c r="I108" i="6"/>
  <c r="BA108" i="7"/>
  <c r="AA108" i="8"/>
  <c r="K108" i="8"/>
  <c r="AA108" i="9"/>
  <c r="U108" i="9"/>
  <c r="K108" i="9"/>
  <c r="E108" i="9"/>
  <c r="AE108" i="6" l="1"/>
  <c r="AE108" i="1"/>
  <c r="AC108" i="9"/>
  <c r="U108" i="5"/>
  <c r="AU108" i="5" s="1"/>
  <c r="BO108" i="4" s="1"/>
  <c r="AE108" i="8"/>
  <c r="BC108" i="7" s="1"/>
  <c r="BG108" i="7" s="1"/>
  <c r="BI108" i="7" s="1"/>
  <c r="AT108" i="2"/>
  <c r="BR108" i="11" s="1"/>
  <c r="BX108" i="11" s="1"/>
  <c r="BZ108" i="11" s="1"/>
  <c r="BU108" i="4" l="1"/>
  <c r="BW108" i="4" s="1"/>
  <c r="E69" i="9"/>
  <c r="E70" i="9"/>
  <c r="M69" i="1" l="1"/>
  <c r="M70" i="1"/>
  <c r="M71" i="1"/>
  <c r="M72" i="1"/>
  <c r="M73" i="1"/>
  <c r="M74" i="1"/>
  <c r="M75" i="1"/>
  <c r="M76" i="1"/>
  <c r="M77" i="1"/>
  <c r="M78" i="1"/>
  <c r="M79" i="1"/>
  <c r="M80" i="1"/>
  <c r="M81" i="1"/>
  <c r="M84" i="1"/>
  <c r="M85" i="1"/>
  <c r="M83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30" i="1"/>
  <c r="AR129" i="2" l="1"/>
  <c r="AT129" i="2" s="1"/>
  <c r="I129" i="6"/>
  <c r="U130" i="5"/>
  <c r="U114" i="5"/>
  <c r="I111" i="1"/>
  <c r="AE111" i="1" s="1"/>
  <c r="U116" i="5"/>
  <c r="U126" i="2"/>
  <c r="AA76" i="9"/>
  <c r="M79" i="6"/>
  <c r="I79" i="6"/>
  <c r="BM69" i="4"/>
  <c r="BM130" i="4"/>
  <c r="BM129" i="4"/>
  <c r="BM127" i="4"/>
  <c r="BM126" i="4"/>
  <c r="BM125" i="4"/>
  <c r="BM124" i="4"/>
  <c r="BM123" i="4"/>
  <c r="BM122" i="4"/>
  <c r="BM121" i="4"/>
  <c r="BM120" i="4"/>
  <c r="BM119" i="4"/>
  <c r="BM117" i="4"/>
  <c r="BM116" i="4"/>
  <c r="BM115" i="4"/>
  <c r="BM114" i="4"/>
  <c r="BM113" i="4"/>
  <c r="BM112" i="4"/>
  <c r="BM111" i="4"/>
  <c r="BM110" i="4"/>
  <c r="BM107" i="4"/>
  <c r="BM106" i="4"/>
  <c r="BM105" i="4"/>
  <c r="BM104" i="4"/>
  <c r="BM103" i="4"/>
  <c r="BM102" i="4"/>
  <c r="BM101" i="4"/>
  <c r="BM100" i="4"/>
  <c r="BM99" i="4"/>
  <c r="BM98" i="4"/>
  <c r="BM97" i="4"/>
  <c r="BM96" i="4"/>
  <c r="BM95" i="4"/>
  <c r="BM94" i="4"/>
  <c r="BM93" i="4"/>
  <c r="BM92" i="4"/>
  <c r="BM91" i="4"/>
  <c r="BM90" i="4"/>
  <c r="BM89" i="4"/>
  <c r="BM88" i="4"/>
  <c r="BM87" i="4"/>
  <c r="BM86" i="4"/>
  <c r="BM83" i="4"/>
  <c r="BM85" i="4"/>
  <c r="BM84" i="4"/>
  <c r="BM81" i="4"/>
  <c r="BM80" i="4"/>
  <c r="BM79" i="4"/>
  <c r="BM78" i="4"/>
  <c r="BM77" i="4"/>
  <c r="BM76" i="4"/>
  <c r="BM75" i="4"/>
  <c r="BM74" i="4"/>
  <c r="BM73" i="4"/>
  <c r="BM71" i="4"/>
  <c r="AA72" i="8"/>
  <c r="AA69" i="8"/>
  <c r="AA70" i="8"/>
  <c r="AA71" i="8"/>
  <c r="AA130" i="8"/>
  <c r="AA129" i="8"/>
  <c r="AA128" i="8"/>
  <c r="AA127" i="8"/>
  <c r="AA126" i="8"/>
  <c r="AA125" i="8"/>
  <c r="AA124" i="8"/>
  <c r="AA123" i="8"/>
  <c r="AA122" i="8"/>
  <c r="AA121" i="8"/>
  <c r="AA120" i="8"/>
  <c r="AA119" i="8"/>
  <c r="AA118" i="8"/>
  <c r="AA117" i="8"/>
  <c r="AA116" i="8"/>
  <c r="AA115" i="8"/>
  <c r="AA114" i="8"/>
  <c r="AA113" i="8"/>
  <c r="AA112" i="8"/>
  <c r="AA111" i="8"/>
  <c r="AA110" i="8"/>
  <c r="AA107" i="8"/>
  <c r="AA106" i="8"/>
  <c r="AA105" i="8"/>
  <c r="AA104" i="8"/>
  <c r="AA103" i="8"/>
  <c r="AA102" i="8"/>
  <c r="AA101" i="8"/>
  <c r="AA100" i="8"/>
  <c r="AA99" i="8"/>
  <c r="AA98" i="8"/>
  <c r="AA97" i="8"/>
  <c r="AA96" i="8"/>
  <c r="AA95" i="8"/>
  <c r="AA94" i="8"/>
  <c r="AA93" i="8"/>
  <c r="AA92" i="8"/>
  <c r="AA91" i="8"/>
  <c r="AA90" i="8"/>
  <c r="AA89" i="8"/>
  <c r="AA88" i="8"/>
  <c r="AA87" i="8"/>
  <c r="AA86" i="8"/>
  <c r="AA83" i="8"/>
  <c r="AA85" i="8"/>
  <c r="AA84" i="8"/>
  <c r="AA81" i="8"/>
  <c r="AA80" i="8"/>
  <c r="AA79" i="8"/>
  <c r="AA78" i="8"/>
  <c r="AA77" i="8"/>
  <c r="AA76" i="8"/>
  <c r="AA75" i="8"/>
  <c r="AA74" i="8"/>
  <c r="AA73" i="8"/>
  <c r="AZ136" i="4"/>
  <c r="BM118" i="4"/>
  <c r="BM72" i="4"/>
  <c r="BM70" i="4"/>
  <c r="AS85" i="5"/>
  <c r="U85" i="5"/>
  <c r="BA85" i="7"/>
  <c r="K83" i="8"/>
  <c r="M81" i="6"/>
  <c r="U83" i="5"/>
  <c r="AS83" i="5"/>
  <c r="U84" i="5"/>
  <c r="AS84" i="5"/>
  <c r="U81" i="5"/>
  <c r="AS81" i="5"/>
  <c r="AS80" i="5"/>
  <c r="U80" i="5"/>
  <c r="I80" i="6"/>
  <c r="M80" i="6"/>
  <c r="BC127" i="11"/>
  <c r="BP127" i="11" s="1"/>
  <c r="U127" i="2"/>
  <c r="AT127" i="2" s="1"/>
  <c r="BC126" i="11"/>
  <c r="BP126" i="11" s="1"/>
  <c r="AR126" i="2"/>
  <c r="AS128" i="5"/>
  <c r="U128" i="5"/>
  <c r="W96" i="10"/>
  <c r="S96" i="10"/>
  <c r="BC96" i="11"/>
  <c r="BP96" i="11" s="1"/>
  <c r="AR96" i="2"/>
  <c r="U96" i="2"/>
  <c r="U97" i="2"/>
  <c r="AS96" i="5"/>
  <c r="U96" i="5"/>
  <c r="I96" i="1"/>
  <c r="AE96" i="1" s="1"/>
  <c r="I96" i="6"/>
  <c r="M96" i="6"/>
  <c r="BA96" i="7"/>
  <c r="K96" i="8"/>
  <c r="E96" i="9"/>
  <c r="K96" i="9"/>
  <c r="U96" i="9"/>
  <c r="AA96" i="9"/>
  <c r="BC97" i="11"/>
  <c r="BP97" i="11" s="1"/>
  <c r="BC95" i="11"/>
  <c r="BP95" i="11" s="1"/>
  <c r="AS97" i="5"/>
  <c r="U97" i="5"/>
  <c r="BA95" i="7"/>
  <c r="BA97" i="7"/>
  <c r="K97" i="8"/>
  <c r="K95" i="9"/>
  <c r="AS94" i="5"/>
  <c r="U94" i="5"/>
  <c r="AR95" i="2"/>
  <c r="U95" i="2"/>
  <c r="BA93" i="7"/>
  <c r="W121" i="10"/>
  <c r="S121" i="10"/>
  <c r="BC121" i="11"/>
  <c r="BP121" i="11" s="1"/>
  <c r="AR121" i="2"/>
  <c r="U121" i="2"/>
  <c r="AS121" i="5"/>
  <c r="U121" i="5"/>
  <c r="I121" i="1"/>
  <c r="AE121" i="1" s="1"/>
  <c r="M121" i="6"/>
  <c r="BA121" i="7"/>
  <c r="K121" i="8"/>
  <c r="E121" i="9"/>
  <c r="K121" i="9"/>
  <c r="U121" i="9"/>
  <c r="AA121" i="9"/>
  <c r="BC119" i="11"/>
  <c r="BP119" i="11" s="1"/>
  <c r="AS118" i="5"/>
  <c r="U118" i="5"/>
  <c r="U127" i="5"/>
  <c r="AS127" i="5"/>
  <c r="AS126" i="5"/>
  <c r="U126" i="5"/>
  <c r="AS125" i="5"/>
  <c r="U125" i="5"/>
  <c r="AS124" i="5"/>
  <c r="U124" i="5"/>
  <c r="U123" i="5"/>
  <c r="AS123" i="5"/>
  <c r="U122" i="5"/>
  <c r="AS122" i="5"/>
  <c r="U120" i="5"/>
  <c r="AS120" i="5"/>
  <c r="U119" i="5"/>
  <c r="AS119" i="5"/>
  <c r="U117" i="5"/>
  <c r="AS117" i="5"/>
  <c r="AS116" i="5"/>
  <c r="AS114" i="5"/>
  <c r="AS113" i="5"/>
  <c r="U113" i="5"/>
  <c r="BC106" i="11"/>
  <c r="BP106" i="11" s="1"/>
  <c r="U106" i="2"/>
  <c r="W105" i="10"/>
  <c r="BC105" i="11"/>
  <c r="BP105" i="11" s="1"/>
  <c r="AR105" i="2"/>
  <c r="U105" i="2"/>
  <c r="AS105" i="5"/>
  <c r="U105" i="5"/>
  <c r="I105" i="1"/>
  <c r="AE105" i="1" s="1"/>
  <c r="I105" i="6"/>
  <c r="M105" i="6"/>
  <c r="BA105" i="7"/>
  <c r="K105" i="8"/>
  <c r="E105" i="9"/>
  <c r="K105" i="9"/>
  <c r="U105" i="9"/>
  <c r="AA105" i="9"/>
  <c r="AS103" i="5"/>
  <c r="U103" i="5"/>
  <c r="U103" i="9"/>
  <c r="AS104" i="5"/>
  <c r="U104" i="5"/>
  <c r="AS102" i="5"/>
  <c r="U102" i="5"/>
  <c r="BC90" i="11"/>
  <c r="BP90" i="11" s="1"/>
  <c r="BC89" i="11"/>
  <c r="BP89" i="11" s="1"/>
  <c r="BC88" i="11"/>
  <c r="BP88" i="11" s="1"/>
  <c r="AR88" i="2"/>
  <c r="U88" i="2"/>
  <c r="U93" i="5"/>
  <c r="AS93" i="5"/>
  <c r="U92" i="5"/>
  <c r="AS92" i="5"/>
  <c r="U91" i="5"/>
  <c r="AS91" i="5"/>
  <c r="U90" i="5"/>
  <c r="AS90" i="5"/>
  <c r="U89" i="5"/>
  <c r="AS89" i="5"/>
  <c r="AS88" i="5"/>
  <c r="U88" i="5"/>
  <c r="BC87" i="11"/>
  <c r="BP87" i="11" s="1"/>
  <c r="AS87" i="5"/>
  <c r="U87" i="5"/>
  <c r="AS86" i="5"/>
  <c r="U86" i="5"/>
  <c r="U72" i="9"/>
  <c r="W72" i="10"/>
  <c r="S72" i="10"/>
  <c r="BC72" i="11"/>
  <c r="BP72" i="11" s="1"/>
  <c r="U72" i="2"/>
  <c r="AR72" i="2"/>
  <c r="I72" i="1"/>
  <c r="AE72" i="1" s="1"/>
  <c r="U72" i="5"/>
  <c r="AS72" i="5"/>
  <c r="I72" i="6"/>
  <c r="M72" i="6"/>
  <c r="BA72" i="7"/>
  <c r="K72" i="8"/>
  <c r="E72" i="9"/>
  <c r="K72" i="9"/>
  <c r="AA72" i="9"/>
  <c r="I71" i="1"/>
  <c r="AE71" i="1" s="1"/>
  <c r="U70" i="5"/>
  <c r="W70" i="10"/>
  <c r="BC70" i="11"/>
  <c r="BP70" i="11" s="1"/>
  <c r="U70" i="2"/>
  <c r="AR70" i="2"/>
  <c r="I70" i="1"/>
  <c r="AE70" i="1" s="1"/>
  <c r="AS70" i="5"/>
  <c r="I70" i="6"/>
  <c r="M70" i="6"/>
  <c r="BA70" i="7"/>
  <c r="K70" i="8"/>
  <c r="K70" i="9"/>
  <c r="AC70" i="9" s="1"/>
  <c r="AA70" i="9"/>
  <c r="AS130" i="5"/>
  <c r="AS129" i="5"/>
  <c r="AS112" i="5"/>
  <c r="U112" i="5"/>
  <c r="AS111" i="5"/>
  <c r="U111" i="5"/>
  <c r="U111" i="9"/>
  <c r="AS106" i="5"/>
  <c r="U106" i="5"/>
  <c r="AS107" i="5"/>
  <c r="U107" i="5"/>
  <c r="AS110" i="5"/>
  <c r="U110" i="5"/>
  <c r="E113" i="9"/>
  <c r="K113" i="9"/>
  <c r="U113" i="9"/>
  <c r="E112" i="9"/>
  <c r="K112" i="9"/>
  <c r="U112" i="9"/>
  <c r="E111" i="9"/>
  <c r="K111" i="9"/>
  <c r="E110" i="9"/>
  <c r="K110" i="9"/>
  <c r="U110" i="9"/>
  <c r="AA110" i="9"/>
  <c r="BC79" i="11"/>
  <c r="BP79" i="11" s="1"/>
  <c r="AR79" i="2"/>
  <c r="AT79" i="2" s="1"/>
  <c r="AR78" i="2"/>
  <c r="AS78" i="5"/>
  <c r="U78" i="5"/>
  <c r="I78" i="6"/>
  <c r="U76" i="9"/>
  <c r="AS101" i="5"/>
  <c r="U101" i="5"/>
  <c r="AS100" i="5"/>
  <c r="U100" i="5"/>
  <c r="AS99" i="5"/>
  <c r="U99" i="5"/>
  <c r="AS98" i="5"/>
  <c r="U98" i="5"/>
  <c r="AS95" i="5"/>
  <c r="U95" i="5"/>
  <c r="K95" i="8"/>
  <c r="W130" i="10"/>
  <c r="S130" i="10"/>
  <c r="W129" i="10"/>
  <c r="S129" i="10"/>
  <c r="W128" i="10"/>
  <c r="S128" i="10"/>
  <c r="W127" i="10"/>
  <c r="S127" i="10"/>
  <c r="W126" i="10"/>
  <c r="S126" i="10"/>
  <c r="W125" i="10"/>
  <c r="S125" i="10"/>
  <c r="W124" i="10"/>
  <c r="S124" i="10"/>
  <c r="W123" i="10"/>
  <c r="S123" i="10"/>
  <c r="W122" i="10"/>
  <c r="S122" i="10"/>
  <c r="W120" i="10"/>
  <c r="S120" i="10"/>
  <c r="W119" i="10"/>
  <c r="S119" i="10"/>
  <c r="W118" i="10"/>
  <c r="S118" i="10"/>
  <c r="W117" i="10"/>
  <c r="S117" i="10"/>
  <c r="W116" i="10"/>
  <c r="S116" i="10"/>
  <c r="W115" i="10"/>
  <c r="S115" i="10"/>
  <c r="W114" i="10"/>
  <c r="S114" i="10"/>
  <c r="W113" i="10"/>
  <c r="S113" i="10"/>
  <c r="W112" i="10"/>
  <c r="S112" i="10"/>
  <c r="W111" i="10"/>
  <c r="W110" i="10"/>
  <c r="W107" i="10"/>
  <c r="W106" i="10"/>
  <c r="W104" i="10"/>
  <c r="W103" i="10"/>
  <c r="W102" i="10"/>
  <c r="W101" i="10"/>
  <c r="W100" i="10"/>
  <c r="W99" i="10"/>
  <c r="S99" i="10"/>
  <c r="W98" i="10"/>
  <c r="S98" i="10"/>
  <c r="W97" i="10"/>
  <c r="S97" i="10"/>
  <c r="W95" i="10"/>
  <c r="S95" i="10"/>
  <c r="W94" i="10"/>
  <c r="S94" i="10"/>
  <c r="W93" i="10"/>
  <c r="S93" i="10"/>
  <c r="W92" i="10"/>
  <c r="S92" i="10"/>
  <c r="W91" i="10"/>
  <c r="S91" i="10"/>
  <c r="W90" i="10"/>
  <c r="S90" i="10"/>
  <c r="W89" i="10"/>
  <c r="S89" i="10"/>
  <c r="W88" i="10"/>
  <c r="S88" i="10"/>
  <c r="W87" i="10"/>
  <c r="S87" i="10"/>
  <c r="W86" i="10"/>
  <c r="S86" i="10"/>
  <c r="W83" i="10"/>
  <c r="S83" i="10"/>
  <c r="W85" i="10"/>
  <c r="S85" i="10"/>
  <c r="W84" i="10"/>
  <c r="S84" i="10"/>
  <c r="W81" i="10"/>
  <c r="S81" i="10"/>
  <c r="W80" i="10"/>
  <c r="S80" i="10"/>
  <c r="W79" i="10"/>
  <c r="S79" i="10"/>
  <c r="W78" i="10"/>
  <c r="S78" i="10"/>
  <c r="W77" i="10"/>
  <c r="S77" i="10"/>
  <c r="W76" i="10"/>
  <c r="S76" i="10"/>
  <c r="W75" i="10"/>
  <c r="S75" i="10"/>
  <c r="W74" i="10"/>
  <c r="S74" i="10"/>
  <c r="BC130" i="11"/>
  <c r="BP130" i="11" s="1"/>
  <c r="AR130" i="2"/>
  <c r="U130" i="2"/>
  <c r="BC129" i="11"/>
  <c r="BP129" i="11" s="1"/>
  <c r="BC125" i="11"/>
  <c r="BP125" i="11" s="1"/>
  <c r="AR125" i="2"/>
  <c r="U125" i="2"/>
  <c r="BC124" i="11"/>
  <c r="BP124" i="11" s="1"/>
  <c r="AR124" i="2"/>
  <c r="U124" i="2"/>
  <c r="BC123" i="11"/>
  <c r="BP123" i="11" s="1"/>
  <c r="AR123" i="2"/>
  <c r="U123" i="2"/>
  <c r="BC122" i="11"/>
  <c r="BP122" i="11" s="1"/>
  <c r="AR122" i="2"/>
  <c r="U122" i="2"/>
  <c r="BC120" i="11"/>
  <c r="BP120" i="11" s="1"/>
  <c r="AR120" i="2"/>
  <c r="U120" i="2"/>
  <c r="AR119" i="2"/>
  <c r="U119" i="2"/>
  <c r="BC118" i="11"/>
  <c r="BP118" i="11" s="1"/>
  <c r="AR118" i="2"/>
  <c r="U118" i="2"/>
  <c r="BC117" i="11"/>
  <c r="BP117" i="11" s="1"/>
  <c r="AR117" i="2"/>
  <c r="U117" i="2"/>
  <c r="BC116" i="11"/>
  <c r="BP116" i="11" s="1"/>
  <c r="AR116" i="2"/>
  <c r="U116" i="2"/>
  <c r="BC115" i="11"/>
  <c r="BP115" i="11" s="1"/>
  <c r="AR115" i="2"/>
  <c r="U115" i="2"/>
  <c r="BC114" i="11"/>
  <c r="BP114" i="11" s="1"/>
  <c r="AR114" i="2"/>
  <c r="U114" i="2"/>
  <c r="BC113" i="11"/>
  <c r="BP113" i="11" s="1"/>
  <c r="AR113" i="2"/>
  <c r="U113" i="2"/>
  <c r="BC112" i="11"/>
  <c r="BP112" i="11" s="1"/>
  <c r="AR112" i="2"/>
  <c r="U112" i="2"/>
  <c r="BC111" i="11"/>
  <c r="BP111" i="11" s="1"/>
  <c r="AR111" i="2"/>
  <c r="U111" i="2"/>
  <c r="BC110" i="11"/>
  <c r="BP110" i="11" s="1"/>
  <c r="AR110" i="2"/>
  <c r="U110" i="2"/>
  <c r="BC107" i="11"/>
  <c r="BP107" i="11" s="1"/>
  <c r="AR107" i="2"/>
  <c r="U107" i="2"/>
  <c r="AR106" i="2"/>
  <c r="BC104" i="11"/>
  <c r="BP104" i="11" s="1"/>
  <c r="AR104" i="2"/>
  <c r="U104" i="2"/>
  <c r="BC103" i="11"/>
  <c r="BP103" i="11" s="1"/>
  <c r="AR103" i="2"/>
  <c r="U103" i="2"/>
  <c r="BC102" i="11"/>
  <c r="BP102" i="11" s="1"/>
  <c r="AR102" i="2"/>
  <c r="U102" i="2"/>
  <c r="BC101" i="11"/>
  <c r="BP101" i="11" s="1"/>
  <c r="AR101" i="2"/>
  <c r="U101" i="2"/>
  <c r="BC100" i="11"/>
  <c r="BP100" i="11" s="1"/>
  <c r="AR100" i="2"/>
  <c r="U100" i="2"/>
  <c r="BC99" i="11"/>
  <c r="BP99" i="11" s="1"/>
  <c r="AR99" i="2"/>
  <c r="U99" i="2"/>
  <c r="BC98" i="11"/>
  <c r="BP98" i="11" s="1"/>
  <c r="AR98" i="2"/>
  <c r="U98" i="2"/>
  <c r="AR97" i="2"/>
  <c r="BC94" i="11"/>
  <c r="BP94" i="11" s="1"/>
  <c r="AR94" i="2"/>
  <c r="U94" i="2"/>
  <c r="BC93" i="11"/>
  <c r="BP93" i="11" s="1"/>
  <c r="AR93" i="2"/>
  <c r="U93" i="2"/>
  <c r="BC92" i="11"/>
  <c r="BP92" i="11" s="1"/>
  <c r="AR92" i="2"/>
  <c r="U92" i="2"/>
  <c r="BC91" i="11"/>
  <c r="BP91" i="11" s="1"/>
  <c r="AR91" i="2"/>
  <c r="U91" i="2"/>
  <c r="AR90" i="2"/>
  <c r="U90" i="2"/>
  <c r="AR89" i="2"/>
  <c r="U89" i="2"/>
  <c r="AR87" i="2"/>
  <c r="U87" i="2"/>
  <c r="BC86" i="11"/>
  <c r="BP86" i="11" s="1"/>
  <c r="AR86" i="2"/>
  <c r="U86" i="2"/>
  <c r="BC83" i="11"/>
  <c r="BP83" i="11" s="1"/>
  <c r="AR83" i="2"/>
  <c r="U83" i="2"/>
  <c r="BC85" i="11"/>
  <c r="BP85" i="11" s="1"/>
  <c r="AR85" i="2"/>
  <c r="U85" i="2"/>
  <c r="BC84" i="11"/>
  <c r="BP84" i="11" s="1"/>
  <c r="AR84" i="2"/>
  <c r="U84" i="2"/>
  <c r="BC81" i="11"/>
  <c r="BP81" i="11" s="1"/>
  <c r="AR81" i="2"/>
  <c r="U81" i="2"/>
  <c r="BC80" i="11"/>
  <c r="BP80" i="11" s="1"/>
  <c r="AR80" i="2"/>
  <c r="U80" i="2"/>
  <c r="BC78" i="11"/>
  <c r="BP78" i="11" s="1"/>
  <c r="BC77" i="11"/>
  <c r="BP77" i="11" s="1"/>
  <c r="AR77" i="2"/>
  <c r="AT77" i="2" s="1"/>
  <c r="BC76" i="11"/>
  <c r="BP76" i="11" s="1"/>
  <c r="AR76" i="2"/>
  <c r="AT76" i="2" s="1"/>
  <c r="BC75" i="11"/>
  <c r="BP75" i="11" s="1"/>
  <c r="AR75" i="2"/>
  <c r="BC74" i="11"/>
  <c r="BP74" i="11" s="1"/>
  <c r="AR74" i="2"/>
  <c r="U74" i="2"/>
  <c r="I130" i="1"/>
  <c r="AE130" i="1" s="1"/>
  <c r="I127" i="1"/>
  <c r="AE127" i="1" s="1"/>
  <c r="I126" i="1"/>
  <c r="AE126" i="1" s="1"/>
  <c r="I125" i="1"/>
  <c r="AE125" i="1" s="1"/>
  <c r="I124" i="1"/>
  <c r="AE124" i="1" s="1"/>
  <c r="I123" i="1"/>
  <c r="AE123" i="1" s="1"/>
  <c r="I122" i="1"/>
  <c r="AE122" i="1" s="1"/>
  <c r="I120" i="1"/>
  <c r="AE120" i="1" s="1"/>
  <c r="I119" i="1"/>
  <c r="AE119" i="1" s="1"/>
  <c r="I118" i="1"/>
  <c r="AE118" i="1" s="1"/>
  <c r="I117" i="1"/>
  <c r="AE117" i="1" s="1"/>
  <c r="I116" i="1"/>
  <c r="AE116" i="1" s="1"/>
  <c r="I115" i="1"/>
  <c r="AE115" i="1" s="1"/>
  <c r="I114" i="1"/>
  <c r="AE114" i="1" s="1"/>
  <c r="I113" i="1"/>
  <c r="AE113" i="1" s="1"/>
  <c r="I112" i="1"/>
  <c r="AE112" i="1" s="1"/>
  <c r="I110" i="1"/>
  <c r="AE110" i="1" s="1"/>
  <c r="I107" i="1"/>
  <c r="AE107" i="1" s="1"/>
  <c r="I106" i="1"/>
  <c r="AE106" i="1" s="1"/>
  <c r="I104" i="1"/>
  <c r="AE104" i="1" s="1"/>
  <c r="I103" i="1"/>
  <c r="AE103" i="1" s="1"/>
  <c r="I102" i="1"/>
  <c r="AE102" i="1" s="1"/>
  <c r="I101" i="1"/>
  <c r="AE101" i="1" s="1"/>
  <c r="I100" i="1"/>
  <c r="AE100" i="1" s="1"/>
  <c r="I99" i="1"/>
  <c r="AE99" i="1" s="1"/>
  <c r="I98" i="1"/>
  <c r="AE98" i="1" s="1"/>
  <c r="I97" i="1"/>
  <c r="AE97" i="1" s="1"/>
  <c r="I95" i="1"/>
  <c r="AE95" i="1" s="1"/>
  <c r="I94" i="1"/>
  <c r="AE94" i="1" s="1"/>
  <c r="I93" i="1"/>
  <c r="AE93" i="1" s="1"/>
  <c r="I92" i="1"/>
  <c r="AE92" i="1" s="1"/>
  <c r="I91" i="1"/>
  <c r="AE91" i="1" s="1"/>
  <c r="I90" i="1"/>
  <c r="AE90" i="1" s="1"/>
  <c r="I89" i="1"/>
  <c r="AE89" i="1" s="1"/>
  <c r="I88" i="1"/>
  <c r="AE88" i="1" s="1"/>
  <c r="I87" i="1"/>
  <c r="AE87" i="1" s="1"/>
  <c r="I86" i="1"/>
  <c r="AE86" i="1" s="1"/>
  <c r="I83" i="1"/>
  <c r="AE83" i="1" s="1"/>
  <c r="I85" i="1"/>
  <c r="AE85" i="1" s="1"/>
  <c r="I84" i="1"/>
  <c r="AE84" i="1" s="1"/>
  <c r="I81" i="1"/>
  <c r="AE81" i="1" s="1"/>
  <c r="I80" i="1"/>
  <c r="AE80" i="1" s="1"/>
  <c r="I79" i="1"/>
  <c r="AE79" i="1" s="1"/>
  <c r="I78" i="1"/>
  <c r="AE78" i="1" s="1"/>
  <c r="I77" i="1"/>
  <c r="AE77" i="1" s="1"/>
  <c r="I76" i="1"/>
  <c r="AE76" i="1" s="1"/>
  <c r="I75" i="1"/>
  <c r="AE75" i="1" s="1"/>
  <c r="I74" i="1"/>
  <c r="AE74" i="1" s="1"/>
  <c r="AS115" i="5"/>
  <c r="U115" i="5"/>
  <c r="AS79" i="5"/>
  <c r="U79" i="5"/>
  <c r="AS77" i="5"/>
  <c r="U77" i="5"/>
  <c r="AS76" i="5"/>
  <c r="U76" i="5"/>
  <c r="U75" i="5"/>
  <c r="AS75" i="5"/>
  <c r="AS74" i="5"/>
  <c r="U74" i="5"/>
  <c r="I130" i="6"/>
  <c r="M130" i="6"/>
  <c r="M129" i="6"/>
  <c r="I127" i="6"/>
  <c r="M127" i="6"/>
  <c r="I126" i="6"/>
  <c r="M126" i="6"/>
  <c r="I125" i="6"/>
  <c r="M125" i="6"/>
  <c r="I124" i="6"/>
  <c r="M124" i="6"/>
  <c r="I123" i="6"/>
  <c r="M123" i="6"/>
  <c r="I122" i="6"/>
  <c r="M122" i="6"/>
  <c r="I120" i="6"/>
  <c r="M120" i="6"/>
  <c r="I119" i="6"/>
  <c r="M119" i="6"/>
  <c r="I118" i="6"/>
  <c r="M118" i="6"/>
  <c r="I117" i="6"/>
  <c r="M117" i="6"/>
  <c r="I116" i="6"/>
  <c r="M116" i="6"/>
  <c r="I115" i="6"/>
  <c r="M115" i="6"/>
  <c r="I114" i="6"/>
  <c r="M114" i="6"/>
  <c r="I113" i="6"/>
  <c r="M113" i="6"/>
  <c r="I112" i="6"/>
  <c r="M112" i="6"/>
  <c r="I111" i="6"/>
  <c r="M111" i="6"/>
  <c r="I110" i="6"/>
  <c r="M110" i="6"/>
  <c r="I107" i="6"/>
  <c r="M107" i="6"/>
  <c r="I106" i="6"/>
  <c r="M106" i="6"/>
  <c r="I104" i="6"/>
  <c r="M104" i="6"/>
  <c r="I103" i="6"/>
  <c r="M103" i="6"/>
  <c r="I102" i="6"/>
  <c r="M102" i="6"/>
  <c r="I101" i="6"/>
  <c r="M101" i="6"/>
  <c r="I100" i="6"/>
  <c r="M100" i="6"/>
  <c r="I99" i="6"/>
  <c r="M99" i="6"/>
  <c r="I98" i="6"/>
  <c r="M98" i="6"/>
  <c r="I97" i="6"/>
  <c r="M97" i="6"/>
  <c r="I95" i="6"/>
  <c r="M95" i="6"/>
  <c r="I94" i="6"/>
  <c r="M94" i="6"/>
  <c r="I93" i="6"/>
  <c r="M93" i="6"/>
  <c r="I92" i="6"/>
  <c r="M92" i="6"/>
  <c r="I91" i="6"/>
  <c r="M91" i="6"/>
  <c r="I90" i="6"/>
  <c r="M90" i="6"/>
  <c r="I89" i="6"/>
  <c r="M89" i="6"/>
  <c r="I88" i="6"/>
  <c r="M88" i="6"/>
  <c r="I87" i="6"/>
  <c r="M87" i="6"/>
  <c r="I86" i="6"/>
  <c r="M86" i="6"/>
  <c r="I83" i="6"/>
  <c r="M83" i="6"/>
  <c r="I85" i="6"/>
  <c r="M85" i="6"/>
  <c r="I84" i="6"/>
  <c r="M84" i="6"/>
  <c r="I81" i="6"/>
  <c r="AE81" i="6" s="1"/>
  <c r="M78" i="6"/>
  <c r="I77" i="6"/>
  <c r="M77" i="6"/>
  <c r="I76" i="6"/>
  <c r="M76" i="6"/>
  <c r="I75" i="6"/>
  <c r="M75" i="6"/>
  <c r="I74" i="6"/>
  <c r="M74" i="6"/>
  <c r="BA130" i="7"/>
  <c r="K130" i="8"/>
  <c r="K129" i="8"/>
  <c r="BA128" i="7"/>
  <c r="K128" i="8"/>
  <c r="BA127" i="7"/>
  <c r="K127" i="8"/>
  <c r="BA126" i="7"/>
  <c r="K126" i="8"/>
  <c r="BA125" i="7"/>
  <c r="K125" i="8"/>
  <c r="BA124" i="7"/>
  <c r="K124" i="8"/>
  <c r="BA123" i="7"/>
  <c r="K123" i="8"/>
  <c r="BA122" i="7"/>
  <c r="K122" i="8"/>
  <c r="BA120" i="7"/>
  <c r="K120" i="8"/>
  <c r="BA119" i="7"/>
  <c r="K119" i="8"/>
  <c r="BA118" i="7"/>
  <c r="K118" i="8"/>
  <c r="AE118" i="8" s="1"/>
  <c r="BA117" i="7"/>
  <c r="K117" i="8"/>
  <c r="BA116" i="7"/>
  <c r="K116" i="8"/>
  <c r="BA115" i="7"/>
  <c r="K115" i="8"/>
  <c r="BA114" i="7"/>
  <c r="K114" i="8"/>
  <c r="AE114" i="8" s="1"/>
  <c r="BA113" i="7"/>
  <c r="K113" i="8"/>
  <c r="BA112" i="7"/>
  <c r="K112" i="8"/>
  <c r="BA111" i="7"/>
  <c r="K111" i="8"/>
  <c r="BA110" i="7"/>
  <c r="K110" i="8"/>
  <c r="BA107" i="7"/>
  <c r="K107" i="8"/>
  <c r="BA106" i="7"/>
  <c r="K106" i="8"/>
  <c r="BA104" i="7"/>
  <c r="K104" i="8"/>
  <c r="BA103" i="7"/>
  <c r="K103" i="8"/>
  <c r="BA102" i="7"/>
  <c r="K102" i="8"/>
  <c r="BA101" i="7"/>
  <c r="K101" i="8"/>
  <c r="BA100" i="7"/>
  <c r="K100" i="8"/>
  <c r="BA99" i="7"/>
  <c r="K99" i="8"/>
  <c r="BA98" i="7"/>
  <c r="K98" i="8"/>
  <c r="BA94" i="7"/>
  <c r="K94" i="8"/>
  <c r="K93" i="8"/>
  <c r="BA92" i="7"/>
  <c r="K92" i="8"/>
  <c r="BA91" i="7"/>
  <c r="K91" i="8"/>
  <c r="BA90" i="7"/>
  <c r="K90" i="8"/>
  <c r="BA89" i="7"/>
  <c r="K89" i="8"/>
  <c r="AE89" i="8" s="1"/>
  <c r="BA88" i="7"/>
  <c r="K88" i="8"/>
  <c r="BA87" i="7"/>
  <c r="K87" i="8"/>
  <c r="BA86" i="7"/>
  <c r="K86" i="8"/>
  <c r="K85" i="8"/>
  <c r="BA84" i="7"/>
  <c r="K84" i="8"/>
  <c r="BA81" i="7"/>
  <c r="K81" i="8"/>
  <c r="BA80" i="7"/>
  <c r="K80" i="8"/>
  <c r="BA79" i="7"/>
  <c r="K79" i="8"/>
  <c r="BA78" i="7"/>
  <c r="K78" i="8"/>
  <c r="K77" i="8"/>
  <c r="BA76" i="7"/>
  <c r="K76" i="8"/>
  <c r="BA75" i="7"/>
  <c r="K75" i="8"/>
  <c r="BA74" i="7"/>
  <c r="K74" i="8"/>
  <c r="BA73" i="7"/>
  <c r="K73" i="8"/>
  <c r="K71" i="8"/>
  <c r="K69" i="8"/>
  <c r="U130" i="9"/>
  <c r="K130" i="9"/>
  <c r="E130" i="9"/>
  <c r="U129" i="9"/>
  <c r="K129" i="9"/>
  <c r="E129" i="9"/>
  <c r="U127" i="9"/>
  <c r="K127" i="9"/>
  <c r="E127" i="9"/>
  <c r="U126" i="9"/>
  <c r="K126" i="9"/>
  <c r="E126" i="9"/>
  <c r="U125" i="9"/>
  <c r="K125" i="9"/>
  <c r="E125" i="9"/>
  <c r="K124" i="9"/>
  <c r="E124" i="9"/>
  <c r="U123" i="9"/>
  <c r="K123" i="9"/>
  <c r="E123" i="9"/>
  <c r="U122" i="9"/>
  <c r="K122" i="9"/>
  <c r="E122" i="9"/>
  <c r="U120" i="9"/>
  <c r="K120" i="9"/>
  <c r="E120" i="9"/>
  <c r="K119" i="9"/>
  <c r="E119" i="9"/>
  <c r="U118" i="9"/>
  <c r="K118" i="9"/>
  <c r="E118" i="9"/>
  <c r="U117" i="9"/>
  <c r="K117" i="9"/>
  <c r="E117" i="9"/>
  <c r="U116" i="9"/>
  <c r="K116" i="9"/>
  <c r="E116" i="9"/>
  <c r="U115" i="9"/>
  <c r="K115" i="9"/>
  <c r="E115" i="9"/>
  <c r="U114" i="9"/>
  <c r="K114" i="9"/>
  <c r="E114" i="9"/>
  <c r="U107" i="9"/>
  <c r="K107" i="9"/>
  <c r="E107" i="9"/>
  <c r="U106" i="9"/>
  <c r="K106" i="9"/>
  <c r="E106" i="9"/>
  <c r="U104" i="9"/>
  <c r="K104" i="9"/>
  <c r="E104" i="9"/>
  <c r="K103" i="9"/>
  <c r="E103" i="9"/>
  <c r="U102" i="9"/>
  <c r="K102" i="9"/>
  <c r="E102" i="9"/>
  <c r="U101" i="9"/>
  <c r="K101" i="9"/>
  <c r="E101" i="9"/>
  <c r="U100" i="9"/>
  <c r="K100" i="9"/>
  <c r="E100" i="9"/>
  <c r="U99" i="9"/>
  <c r="K99" i="9"/>
  <c r="E99" i="9"/>
  <c r="U98" i="9"/>
  <c r="K98" i="9"/>
  <c r="E98" i="9"/>
  <c r="U97" i="9"/>
  <c r="K97" i="9"/>
  <c r="E97" i="9"/>
  <c r="U95" i="9"/>
  <c r="E95" i="9"/>
  <c r="U94" i="9"/>
  <c r="K94" i="9"/>
  <c r="E94" i="9"/>
  <c r="U93" i="9"/>
  <c r="K93" i="9"/>
  <c r="E93" i="9"/>
  <c r="U92" i="9"/>
  <c r="K92" i="9"/>
  <c r="E92" i="9"/>
  <c r="U91" i="9"/>
  <c r="K91" i="9"/>
  <c r="E91" i="9"/>
  <c r="U90" i="9"/>
  <c r="K90" i="9"/>
  <c r="E90" i="9"/>
  <c r="U89" i="9"/>
  <c r="K89" i="9"/>
  <c r="E89" i="9"/>
  <c r="U88" i="9"/>
  <c r="K88" i="9"/>
  <c r="E88" i="9"/>
  <c r="U87" i="9"/>
  <c r="K87" i="9"/>
  <c r="E87" i="9"/>
  <c r="U86" i="9"/>
  <c r="K86" i="9"/>
  <c r="E86" i="9"/>
  <c r="U83" i="9"/>
  <c r="K83" i="9"/>
  <c r="E83" i="9"/>
  <c r="U85" i="9"/>
  <c r="K85" i="9"/>
  <c r="E85" i="9"/>
  <c r="U84" i="9"/>
  <c r="K84" i="9"/>
  <c r="E84" i="9"/>
  <c r="U81" i="9"/>
  <c r="K81" i="9"/>
  <c r="E81" i="9"/>
  <c r="U80" i="9"/>
  <c r="K80" i="9"/>
  <c r="E80" i="9"/>
  <c r="U79" i="9"/>
  <c r="K79" i="9"/>
  <c r="E79" i="9"/>
  <c r="U78" i="9"/>
  <c r="K78" i="9"/>
  <c r="E78" i="9"/>
  <c r="U77" i="9"/>
  <c r="K77" i="9"/>
  <c r="E77" i="9"/>
  <c r="K76" i="9"/>
  <c r="E76" i="9"/>
  <c r="U75" i="9"/>
  <c r="K75" i="9"/>
  <c r="E75" i="9"/>
  <c r="U74" i="9"/>
  <c r="K74" i="9"/>
  <c r="E74" i="9"/>
  <c r="U73" i="9"/>
  <c r="K73" i="9"/>
  <c r="E73" i="9"/>
  <c r="U71" i="9"/>
  <c r="K71" i="9"/>
  <c r="E71" i="9"/>
  <c r="U69" i="9"/>
  <c r="K69" i="9"/>
  <c r="AA86" i="9"/>
  <c r="I73" i="1"/>
  <c r="AE73" i="1" s="1"/>
  <c r="AA102" i="9"/>
  <c r="BC69" i="11"/>
  <c r="BP69" i="11" s="1"/>
  <c r="BC71" i="11"/>
  <c r="BP71" i="11" s="1"/>
  <c r="BC73" i="11"/>
  <c r="BP73" i="11" s="1"/>
  <c r="I69" i="1"/>
  <c r="AE69" i="1" s="1"/>
  <c r="AA103" i="9"/>
  <c r="AA94" i="9"/>
  <c r="AA85" i="9"/>
  <c r="U73" i="5"/>
  <c r="AS73" i="5"/>
  <c r="I73" i="6"/>
  <c r="M73" i="6"/>
  <c r="I71" i="6"/>
  <c r="M71" i="6"/>
  <c r="I69" i="6"/>
  <c r="M69" i="6"/>
  <c r="W73" i="10"/>
  <c r="S73" i="10"/>
  <c r="W71" i="10"/>
  <c r="S71" i="10"/>
  <c r="W69" i="10"/>
  <c r="S69" i="10"/>
  <c r="AR73" i="2"/>
  <c r="U73" i="2"/>
  <c r="U71" i="2"/>
  <c r="AR71" i="2"/>
  <c r="U69" i="2"/>
  <c r="AR69" i="2"/>
  <c r="AC69" i="1"/>
  <c r="U71" i="5"/>
  <c r="AS71" i="5"/>
  <c r="U69" i="5"/>
  <c r="AS69" i="5"/>
  <c r="BA71" i="7"/>
  <c r="BA69" i="7"/>
  <c r="AA130" i="9"/>
  <c r="AA129" i="9"/>
  <c r="AA128" i="9"/>
  <c r="AA127" i="9"/>
  <c r="AA126" i="9"/>
  <c r="AA125" i="9"/>
  <c r="AA124" i="9"/>
  <c r="AA123" i="9"/>
  <c r="AA122" i="9"/>
  <c r="AA120" i="9"/>
  <c r="AA119" i="9"/>
  <c r="AA118" i="9"/>
  <c r="AA117" i="9"/>
  <c r="AA116" i="9"/>
  <c r="AA115" i="9"/>
  <c r="AA114" i="9"/>
  <c r="AA113" i="9"/>
  <c r="AA112" i="9"/>
  <c r="AA107" i="9"/>
  <c r="AA106" i="9"/>
  <c r="AA111" i="9"/>
  <c r="AA104" i="9"/>
  <c r="AA101" i="9"/>
  <c r="AA100" i="9"/>
  <c r="AA99" i="9"/>
  <c r="AA98" i="9"/>
  <c r="AA97" i="9"/>
  <c r="AA95" i="9"/>
  <c r="AA93" i="9"/>
  <c r="AA92" i="9"/>
  <c r="AA91" i="9"/>
  <c r="AA90" i="9"/>
  <c r="AA89" i="9"/>
  <c r="AA88" i="9"/>
  <c r="AA87" i="9"/>
  <c r="AA83" i="9"/>
  <c r="AA84" i="9"/>
  <c r="AA81" i="9"/>
  <c r="AA80" i="9"/>
  <c r="AA79" i="9"/>
  <c r="AA78" i="9"/>
  <c r="AA77" i="9"/>
  <c r="AA75" i="9"/>
  <c r="AA74" i="9"/>
  <c r="AA73" i="9"/>
  <c r="AA71" i="9"/>
  <c r="AA69" i="9"/>
  <c r="AC128" i="9"/>
  <c r="AT97" i="2" l="1"/>
  <c r="AC96" i="9"/>
  <c r="AE96" i="8"/>
  <c r="AE124" i="8"/>
  <c r="AE126" i="8"/>
  <c r="BC126" i="7" s="1"/>
  <c r="BG126" i="7" s="1"/>
  <c r="BI126" i="7" s="1"/>
  <c r="AE128" i="8"/>
  <c r="BC128" i="7" s="1"/>
  <c r="BG128" i="7" s="1"/>
  <c r="BI128" i="7" s="1"/>
  <c r="AE102" i="8"/>
  <c r="BC102" i="7" s="1"/>
  <c r="BG102" i="7" s="1"/>
  <c r="BI102" i="7" s="1"/>
  <c r="AE98" i="8"/>
  <c r="BC98" i="7" s="1"/>
  <c r="BG98" i="7" s="1"/>
  <c r="BI98" i="7" s="1"/>
  <c r="AE87" i="8"/>
  <c r="BC87" i="7" s="1"/>
  <c r="BG87" i="7" s="1"/>
  <c r="BI87" i="7" s="1"/>
  <c r="AE85" i="8"/>
  <c r="BC85" i="7" s="1"/>
  <c r="BG85" i="7" s="1"/>
  <c r="BI85" i="7" s="1"/>
  <c r="AE79" i="8"/>
  <c r="AE70" i="8"/>
  <c r="BC70" i="7" s="1"/>
  <c r="BG70" i="7" s="1"/>
  <c r="BI70" i="7" s="1"/>
  <c r="AE94" i="8"/>
  <c r="BC94" i="7" s="1"/>
  <c r="BG94" i="7" s="1"/>
  <c r="BI94" i="7" s="1"/>
  <c r="AE112" i="8"/>
  <c r="BC112" i="7" s="1"/>
  <c r="BG112" i="7" s="1"/>
  <c r="BI112" i="7" s="1"/>
  <c r="AE116" i="8"/>
  <c r="BC116" i="7" s="1"/>
  <c r="BG116" i="7" s="1"/>
  <c r="BI116" i="7" s="1"/>
  <c r="AE120" i="8"/>
  <c r="BC120" i="7" s="1"/>
  <c r="BG120" i="7" s="1"/>
  <c r="BI120" i="7" s="1"/>
  <c r="AE104" i="8"/>
  <c r="BC104" i="7" s="1"/>
  <c r="BG104" i="7" s="1"/>
  <c r="BI104" i="7" s="1"/>
  <c r="AE86" i="8"/>
  <c r="BC86" i="7" s="1"/>
  <c r="BG86" i="7" s="1"/>
  <c r="BI86" i="7" s="1"/>
  <c r="AE90" i="8"/>
  <c r="AE92" i="8"/>
  <c r="BC92" i="7" s="1"/>
  <c r="BG92" i="7" s="1"/>
  <c r="BI92" i="7" s="1"/>
  <c r="AE130" i="8"/>
  <c r="BC130" i="7" s="1"/>
  <c r="BG130" i="7" s="1"/>
  <c r="BI130" i="7" s="1"/>
  <c r="AE103" i="8"/>
  <c r="BC103" i="7" s="1"/>
  <c r="BG103" i="7" s="1"/>
  <c r="BI103" i="7" s="1"/>
  <c r="AE113" i="8"/>
  <c r="BC113" i="7" s="1"/>
  <c r="BG113" i="7" s="1"/>
  <c r="BI113" i="7" s="1"/>
  <c r="AE97" i="8"/>
  <c r="BC97" i="7" s="1"/>
  <c r="BG97" i="7" s="1"/>
  <c r="BI97" i="7" s="1"/>
  <c r="AE111" i="8"/>
  <c r="BC111" i="7" s="1"/>
  <c r="BG111" i="7" s="1"/>
  <c r="BI111" i="7" s="1"/>
  <c r="AE115" i="8"/>
  <c r="BC115" i="7" s="1"/>
  <c r="BG115" i="7" s="1"/>
  <c r="BI115" i="7" s="1"/>
  <c r="AE127" i="8"/>
  <c r="AE72" i="8"/>
  <c r="AE81" i="8"/>
  <c r="BC81" i="7" s="1"/>
  <c r="BG81" i="7" s="1"/>
  <c r="BI81" i="7" s="1"/>
  <c r="AE73" i="8"/>
  <c r="BC73" i="7" s="1"/>
  <c r="BG73" i="7" s="1"/>
  <c r="BI73" i="7" s="1"/>
  <c r="AE77" i="8"/>
  <c r="BC77" i="7" s="1"/>
  <c r="BG77" i="7" s="1"/>
  <c r="BI77" i="7" s="1"/>
  <c r="AE80" i="8"/>
  <c r="BC80" i="7" s="1"/>
  <c r="BG80" i="7" s="1"/>
  <c r="BI80" i="7" s="1"/>
  <c r="AE71" i="8"/>
  <c r="BC127" i="7"/>
  <c r="BG127" i="7" s="1"/>
  <c r="BI127" i="7" s="1"/>
  <c r="AC89" i="9"/>
  <c r="AC93" i="9"/>
  <c r="AC113" i="9"/>
  <c r="AC111" i="9"/>
  <c r="AT85" i="2"/>
  <c r="BR85" i="11" s="1"/>
  <c r="BX85" i="11" s="1"/>
  <c r="BZ85" i="11" s="1"/>
  <c r="BR129" i="11"/>
  <c r="BX129" i="11" s="1"/>
  <c r="BZ129" i="11" s="1"/>
  <c r="AU112" i="5"/>
  <c r="AU75" i="5"/>
  <c r="BO75" i="4" s="1"/>
  <c r="AU123" i="5"/>
  <c r="BO123" i="4" s="1"/>
  <c r="AE89" i="6"/>
  <c r="AE91" i="6"/>
  <c r="AE95" i="6"/>
  <c r="AE98" i="6"/>
  <c r="AE102" i="6"/>
  <c r="AE115" i="6"/>
  <c r="AE117" i="6"/>
  <c r="AE91" i="8"/>
  <c r="BC91" i="7" s="1"/>
  <c r="BG91" i="7" s="1"/>
  <c r="BI91" i="7" s="1"/>
  <c r="AE74" i="8"/>
  <c r="BC74" i="7" s="1"/>
  <c r="BG74" i="7" s="1"/>
  <c r="BI74" i="7" s="1"/>
  <c r="AE88" i="8"/>
  <c r="BC88" i="7" s="1"/>
  <c r="BG88" i="7" s="1"/>
  <c r="BI88" i="7" s="1"/>
  <c r="AE69" i="8"/>
  <c r="BC69" i="7" s="1"/>
  <c r="BG69" i="7" s="1"/>
  <c r="BI69" i="7" s="1"/>
  <c r="AE99" i="8"/>
  <c r="BC99" i="7" s="1"/>
  <c r="BG99" i="7" s="1"/>
  <c r="BI99" i="7" s="1"/>
  <c r="AE125" i="8"/>
  <c r="BC125" i="7" s="1"/>
  <c r="BG125" i="7" s="1"/>
  <c r="BI125" i="7" s="1"/>
  <c r="AE105" i="8"/>
  <c r="BC105" i="7" s="1"/>
  <c r="BG105" i="7" s="1"/>
  <c r="BI105" i="7" s="1"/>
  <c r="AE75" i="8"/>
  <c r="BC75" i="7" s="1"/>
  <c r="BG75" i="7" s="1"/>
  <c r="BI75" i="7" s="1"/>
  <c r="AE93" i="8"/>
  <c r="BC93" i="7" s="1"/>
  <c r="BG93" i="7" s="1"/>
  <c r="BI93" i="7" s="1"/>
  <c r="AE123" i="8"/>
  <c r="BC123" i="7" s="1"/>
  <c r="BG123" i="7" s="1"/>
  <c r="BI123" i="7" s="1"/>
  <c r="AE78" i="8"/>
  <c r="BC78" i="7" s="1"/>
  <c r="BG78" i="7" s="1"/>
  <c r="BI78" i="7" s="1"/>
  <c r="AE119" i="8"/>
  <c r="BC119" i="7" s="1"/>
  <c r="BG119" i="7" s="1"/>
  <c r="BI119" i="7" s="1"/>
  <c r="AE122" i="8"/>
  <c r="BC122" i="7" s="1"/>
  <c r="BG122" i="7" s="1"/>
  <c r="BI122" i="7" s="1"/>
  <c r="AE106" i="8"/>
  <c r="BC106" i="7" s="1"/>
  <c r="BG106" i="7" s="1"/>
  <c r="BI106" i="7" s="1"/>
  <c r="AC110" i="9"/>
  <c r="AC105" i="9"/>
  <c r="AC112" i="9"/>
  <c r="AC95" i="9"/>
  <c r="AC72" i="9"/>
  <c r="AC126" i="9"/>
  <c r="AC129" i="9"/>
  <c r="AC130" i="9"/>
  <c r="AT92" i="2"/>
  <c r="BR92" i="11" s="1"/>
  <c r="AT84" i="2"/>
  <c r="AT130" i="2"/>
  <c r="BR130" i="11" s="1"/>
  <c r="BX130" i="11" s="1"/>
  <c r="BZ130" i="11" s="1"/>
  <c r="AT72" i="2"/>
  <c r="BR72" i="11" s="1"/>
  <c r="AT103" i="2"/>
  <c r="BR103" i="11" s="1"/>
  <c r="BX103" i="11" s="1"/>
  <c r="BZ103" i="11" s="1"/>
  <c r="AT81" i="2"/>
  <c r="BR81" i="11" s="1"/>
  <c r="AT104" i="2"/>
  <c r="BR104" i="11" s="1"/>
  <c r="BX104" i="11" s="1"/>
  <c r="BZ104" i="11" s="1"/>
  <c r="AT107" i="2"/>
  <c r="BR107" i="11" s="1"/>
  <c r="BX107" i="11" s="1"/>
  <c r="BZ107" i="11" s="1"/>
  <c r="AT113" i="2"/>
  <c r="BR113" i="11" s="1"/>
  <c r="BX113" i="11" s="1"/>
  <c r="BZ113" i="11" s="1"/>
  <c r="AT117" i="2"/>
  <c r="BR117" i="11" s="1"/>
  <c r="BX117" i="11" s="1"/>
  <c r="BZ117" i="11" s="1"/>
  <c r="AT83" i="2"/>
  <c r="BR83" i="11" s="1"/>
  <c r="BX83" i="11" s="1"/>
  <c r="BZ83" i="11" s="1"/>
  <c r="AT89" i="2"/>
  <c r="BR89" i="11" s="1"/>
  <c r="BX89" i="11" s="1"/>
  <c r="BZ89" i="11" s="1"/>
  <c r="AT99" i="2"/>
  <c r="BR99" i="11" s="1"/>
  <c r="BX99" i="11" s="1"/>
  <c r="BZ99" i="11" s="1"/>
  <c r="AT112" i="2"/>
  <c r="BR112" i="11" s="1"/>
  <c r="BX112" i="11" s="1"/>
  <c r="BZ112" i="11" s="1"/>
  <c r="AT116" i="2"/>
  <c r="BR116" i="11" s="1"/>
  <c r="BX116" i="11" s="1"/>
  <c r="BZ116" i="11" s="1"/>
  <c r="AT115" i="2"/>
  <c r="BR115" i="11" s="1"/>
  <c r="AT95" i="2"/>
  <c r="BR95" i="11" s="1"/>
  <c r="AT120" i="2"/>
  <c r="BR120" i="11" s="1"/>
  <c r="BX120" i="11" s="1"/>
  <c r="BZ120" i="11" s="1"/>
  <c r="AT74" i="2"/>
  <c r="BR74" i="11" s="1"/>
  <c r="BX74" i="11" s="1"/>
  <c r="BZ74" i="11" s="1"/>
  <c r="AT87" i="2"/>
  <c r="BR87" i="11" s="1"/>
  <c r="BX87" i="11" s="1"/>
  <c r="BZ87" i="11" s="1"/>
  <c r="AT93" i="2"/>
  <c r="BR93" i="11" s="1"/>
  <c r="BX93" i="11" s="1"/>
  <c r="BZ93" i="11" s="1"/>
  <c r="AT110" i="2"/>
  <c r="BR110" i="11" s="1"/>
  <c r="BX110" i="11" s="1"/>
  <c r="BZ110" i="11" s="1"/>
  <c r="AT102" i="2"/>
  <c r="BR102" i="11" s="1"/>
  <c r="BX102" i="11" s="1"/>
  <c r="BZ102" i="11" s="1"/>
  <c r="AT111" i="2"/>
  <c r="BR111" i="11" s="1"/>
  <c r="BX111" i="11" s="1"/>
  <c r="BZ111" i="11" s="1"/>
  <c r="AT119" i="2"/>
  <c r="BR119" i="11" s="1"/>
  <c r="AT105" i="2"/>
  <c r="BR105" i="11" s="1"/>
  <c r="BX105" i="11" s="1"/>
  <c r="BZ105" i="11" s="1"/>
  <c r="AT96" i="2"/>
  <c r="BR96" i="11" s="1"/>
  <c r="BX96" i="11" s="1"/>
  <c r="BZ96" i="11" s="1"/>
  <c r="AT122" i="2"/>
  <c r="BR122" i="11" s="1"/>
  <c r="BX122" i="11" s="1"/>
  <c r="BZ122" i="11" s="1"/>
  <c r="AT70" i="2"/>
  <c r="BR70" i="11" s="1"/>
  <c r="BX70" i="11" s="1"/>
  <c r="AT121" i="2"/>
  <c r="BR121" i="11" s="1"/>
  <c r="BX121" i="11" s="1"/>
  <c r="BZ121" i="11" s="1"/>
  <c r="AT126" i="2"/>
  <c r="BR126" i="11" s="1"/>
  <c r="BX126" i="11" s="1"/>
  <c r="BZ126" i="11" s="1"/>
  <c r="AU95" i="5"/>
  <c r="BO95" i="4" s="1"/>
  <c r="AU99" i="5"/>
  <c r="BO99" i="4" s="1"/>
  <c r="AU96" i="5"/>
  <c r="BO96" i="4" s="1"/>
  <c r="AU74" i="5"/>
  <c r="BO74" i="4" s="1"/>
  <c r="AU79" i="5"/>
  <c r="BO79" i="4" s="1"/>
  <c r="AU72" i="5"/>
  <c r="BO72" i="4" s="1"/>
  <c r="AU93" i="5"/>
  <c r="BO93" i="4" s="1"/>
  <c r="AE93" i="6"/>
  <c r="AE100" i="6"/>
  <c r="AE84" i="6"/>
  <c r="AE117" i="8"/>
  <c r="BC117" i="7" s="1"/>
  <c r="BG117" i="7" s="1"/>
  <c r="BI117" i="7" s="1"/>
  <c r="AE107" i="8"/>
  <c r="BC107" i="7" s="1"/>
  <c r="BG107" i="7" s="1"/>
  <c r="BI107" i="7" s="1"/>
  <c r="AE95" i="8"/>
  <c r="BC95" i="7" s="1"/>
  <c r="BG95" i="7" s="1"/>
  <c r="BI95" i="7" s="1"/>
  <c r="AE100" i="8"/>
  <c r="BC100" i="7" s="1"/>
  <c r="BG100" i="7" s="1"/>
  <c r="BI100" i="7" s="1"/>
  <c r="AE129" i="8"/>
  <c r="BC129" i="7" s="1"/>
  <c r="BG129" i="7" s="1"/>
  <c r="BI129" i="7" s="1"/>
  <c r="AT125" i="2"/>
  <c r="BR125" i="11" s="1"/>
  <c r="BX125" i="11" s="1"/>
  <c r="BZ125" i="11" s="1"/>
  <c r="AC125" i="9"/>
  <c r="AE75" i="6"/>
  <c r="AE77" i="6"/>
  <c r="AT123" i="2"/>
  <c r="BR123" i="11" s="1"/>
  <c r="BX123" i="11" s="1"/>
  <c r="BZ123" i="11" s="1"/>
  <c r="AE122" i="6"/>
  <c r="AU121" i="5"/>
  <c r="BO121" i="4" s="1"/>
  <c r="AE121" i="8"/>
  <c r="BC121" i="7" s="1"/>
  <c r="BG121" i="7" s="1"/>
  <c r="BI121" i="7" s="1"/>
  <c r="AC121" i="9"/>
  <c r="AE119" i="6"/>
  <c r="AC119" i="9"/>
  <c r="AE76" i="6"/>
  <c r="AE92" i="6"/>
  <c r="AE97" i="6"/>
  <c r="AE103" i="6"/>
  <c r="AE114" i="6"/>
  <c r="AE118" i="6"/>
  <c r="AE120" i="6"/>
  <c r="AE123" i="6"/>
  <c r="AE110" i="8"/>
  <c r="BC110" i="7" s="1"/>
  <c r="BG110" i="7" s="1"/>
  <c r="BI110" i="7" s="1"/>
  <c r="AE116" i="6"/>
  <c r="AU114" i="5"/>
  <c r="BO114" i="4" s="1"/>
  <c r="AE113" i="6"/>
  <c r="AE112" i="6"/>
  <c r="AE111" i="6"/>
  <c r="AE110" i="6"/>
  <c r="AE107" i="6"/>
  <c r="AT106" i="2"/>
  <c r="BR106" i="11" s="1"/>
  <c r="BX106" i="11" s="1"/>
  <c r="BZ106" i="11" s="1"/>
  <c r="AE106" i="6"/>
  <c r="AE104" i="6"/>
  <c r="AE101" i="6"/>
  <c r="AE99" i="6"/>
  <c r="BC96" i="7"/>
  <c r="BG96" i="7" s="1"/>
  <c r="BI96" i="7" s="1"/>
  <c r="AE94" i="6"/>
  <c r="AC69" i="9"/>
  <c r="AC74" i="9"/>
  <c r="AC77" i="9"/>
  <c r="AC79" i="9"/>
  <c r="AC88" i="9"/>
  <c r="AC92" i="9"/>
  <c r="AC99" i="9"/>
  <c r="AC101" i="9"/>
  <c r="AC102" i="9"/>
  <c r="AC103" i="9"/>
  <c r="AC104" i="9"/>
  <c r="AC106" i="9"/>
  <c r="AC107" i="9"/>
  <c r="AC114" i="9"/>
  <c r="AC116" i="9"/>
  <c r="AC117" i="9"/>
  <c r="AC118" i="9"/>
  <c r="AC120" i="9"/>
  <c r="AC123" i="9"/>
  <c r="AC124" i="9"/>
  <c r="AC127" i="9"/>
  <c r="AE70" i="6"/>
  <c r="AT86" i="2"/>
  <c r="BR86" i="11" s="1"/>
  <c r="BX86" i="11" s="1"/>
  <c r="BZ86" i="11" s="1"/>
  <c r="AE74" i="6"/>
  <c r="AC73" i="9"/>
  <c r="AC75" i="9"/>
  <c r="AC78" i="9"/>
  <c r="AC80" i="9"/>
  <c r="AC84" i="9"/>
  <c r="AT88" i="2"/>
  <c r="BR88" i="11" s="1"/>
  <c r="BX88" i="11" s="1"/>
  <c r="BZ88" i="11" s="1"/>
  <c r="AC91" i="9"/>
  <c r="AE90" i="6"/>
  <c r="AC90" i="9"/>
  <c r="AE88" i="6"/>
  <c r="AE87" i="6"/>
  <c r="AC87" i="9"/>
  <c r="AE86" i="6"/>
  <c r="AE85" i="6"/>
  <c r="AC85" i="9"/>
  <c r="AE130" i="6"/>
  <c r="AE105" i="6"/>
  <c r="AE121" i="6"/>
  <c r="AE96" i="6"/>
  <c r="AE80" i="6"/>
  <c r="AU83" i="5"/>
  <c r="BO83" i="4" s="1"/>
  <c r="AE79" i="6"/>
  <c r="AC83" i="9"/>
  <c r="AE83" i="6"/>
  <c r="AE124" i="6"/>
  <c r="AE125" i="6"/>
  <c r="AE126" i="6"/>
  <c r="AE127" i="6"/>
  <c r="AE72" i="6"/>
  <c r="AE69" i="6"/>
  <c r="AE73" i="6"/>
  <c r="AE78" i="6"/>
  <c r="AE129" i="6"/>
  <c r="AU87" i="5"/>
  <c r="BO87" i="4" s="1"/>
  <c r="AU71" i="5"/>
  <c r="BO71" i="4" s="1"/>
  <c r="AE71" i="6"/>
  <c r="AC71" i="9"/>
  <c r="AU69" i="5"/>
  <c r="BO69" i="4" s="1"/>
  <c r="AU73" i="5"/>
  <c r="BO73" i="4" s="1"/>
  <c r="AC81" i="9"/>
  <c r="AT75" i="2"/>
  <c r="BR75" i="11" s="1"/>
  <c r="BX75" i="11" s="1"/>
  <c r="BZ75" i="11" s="1"/>
  <c r="AT98" i="2"/>
  <c r="BR98" i="11" s="1"/>
  <c r="BX98" i="11" s="1"/>
  <c r="BZ98" i="11" s="1"/>
  <c r="AT124" i="2"/>
  <c r="BR124" i="11" s="1"/>
  <c r="BX124" i="11" s="1"/>
  <c r="BZ124" i="11" s="1"/>
  <c r="AT73" i="2"/>
  <c r="BR73" i="11" s="1"/>
  <c r="BX73" i="11" s="1"/>
  <c r="BZ73" i="11" s="1"/>
  <c r="BO112" i="4"/>
  <c r="AU106" i="5"/>
  <c r="BO106" i="4" s="1"/>
  <c r="BC118" i="7"/>
  <c r="BG118" i="7" s="1"/>
  <c r="BI118" i="7" s="1"/>
  <c r="BC114" i="7"/>
  <c r="BG114" i="7" s="1"/>
  <c r="BI114" i="7" s="1"/>
  <c r="AU110" i="5"/>
  <c r="BO110" i="4" s="1"/>
  <c r="AE83" i="8"/>
  <c r="AE76" i="8"/>
  <c r="BC76" i="7" s="1"/>
  <c r="BG76" i="7" s="1"/>
  <c r="BI76" i="7" s="1"/>
  <c r="AE84" i="8"/>
  <c r="BC84" i="7" s="1"/>
  <c r="BG84" i="7" s="1"/>
  <c r="BI84" i="7" s="1"/>
  <c r="AU100" i="5"/>
  <c r="BO100" i="4" s="1"/>
  <c r="AU98" i="5"/>
  <c r="BO98" i="4" s="1"/>
  <c r="AE101" i="8"/>
  <c r="BC101" i="7" s="1"/>
  <c r="BG101" i="7" s="1"/>
  <c r="BI101" i="7" s="1"/>
  <c r="AC97" i="9"/>
  <c r="AC100" i="9"/>
  <c r="AC122" i="9"/>
  <c r="BR84" i="11"/>
  <c r="BX84" i="11" s="1"/>
  <c r="BZ84" i="11" s="1"/>
  <c r="BR77" i="11"/>
  <c r="BX77" i="11" s="1"/>
  <c r="BZ77" i="11" s="1"/>
  <c r="BR76" i="11"/>
  <c r="BX76" i="11" s="1"/>
  <c r="BZ76" i="11" s="1"/>
  <c r="BR79" i="11"/>
  <c r="AT101" i="2"/>
  <c r="BR101" i="11" s="1"/>
  <c r="AU84" i="5"/>
  <c r="BO84" i="4" s="1"/>
  <c r="BR127" i="11"/>
  <c r="BX127" i="11" s="1"/>
  <c r="BZ127" i="11" s="1"/>
  <c r="AU120" i="5"/>
  <c r="BO120" i="4" s="1"/>
  <c r="BC124" i="7"/>
  <c r="BG124" i="7" s="1"/>
  <c r="BI124" i="7" s="1"/>
  <c r="AC115" i="9"/>
  <c r="BR97" i="11"/>
  <c r="BX97" i="11" s="1"/>
  <c r="BZ97" i="11" s="1"/>
  <c r="BC89" i="7"/>
  <c r="BG89" i="7" s="1"/>
  <c r="BI89" i="7" s="1"/>
  <c r="BC90" i="7"/>
  <c r="BG90" i="7" s="1"/>
  <c r="BI90" i="7" s="1"/>
  <c r="AT69" i="2"/>
  <c r="BR69" i="11" s="1"/>
  <c r="AT71" i="2"/>
  <c r="AT91" i="2"/>
  <c r="AT100" i="2"/>
  <c r="AT78" i="2"/>
  <c r="AT80" i="2"/>
  <c r="AU92" i="5"/>
  <c r="BO92" i="4" s="1"/>
  <c r="AU90" i="5"/>
  <c r="BO90" i="4" s="1"/>
  <c r="AU101" i="5"/>
  <c r="BO101" i="4" s="1"/>
  <c r="AU86" i="5"/>
  <c r="BO86" i="4" s="1"/>
  <c r="AU89" i="5"/>
  <c r="BO89" i="4" s="1"/>
  <c r="AU91" i="5"/>
  <c r="BO91" i="4" s="1"/>
  <c r="AU88" i="5"/>
  <c r="BO88" i="4" s="1"/>
  <c r="AU117" i="5"/>
  <c r="BO117" i="4" s="1"/>
  <c r="AU85" i="5"/>
  <c r="BO85" i="4" s="1"/>
  <c r="AU129" i="5"/>
  <c r="BO129" i="4" s="1"/>
  <c r="AU122" i="5"/>
  <c r="BO122" i="4" s="1"/>
  <c r="AU127" i="5"/>
  <c r="AU118" i="5"/>
  <c r="BO118" i="4" s="1"/>
  <c r="AC86" i="9"/>
  <c r="AT94" i="2"/>
  <c r="AT114" i="2"/>
  <c r="AT118" i="2"/>
  <c r="AU111" i="5"/>
  <c r="BO111" i="4" s="1"/>
  <c r="AU102" i="5"/>
  <c r="BO102" i="4" s="1"/>
  <c r="AU103" i="5"/>
  <c r="BO103" i="4" s="1"/>
  <c r="AU105" i="5"/>
  <c r="BO105" i="4" s="1"/>
  <c r="AU119" i="5"/>
  <c r="BO119" i="4" s="1"/>
  <c r="AU81" i="5"/>
  <c r="BO81" i="4" s="1"/>
  <c r="AU76" i="5"/>
  <c r="BO76" i="4" s="1"/>
  <c r="AU77" i="5"/>
  <c r="BO77" i="4" s="1"/>
  <c r="AU115" i="5"/>
  <c r="BO115" i="4" s="1"/>
  <c r="AT90" i="2"/>
  <c r="AU78" i="5"/>
  <c r="BO78" i="4" s="1"/>
  <c r="AU107" i="5"/>
  <c r="BO107" i="4" s="1"/>
  <c r="AU70" i="5"/>
  <c r="BO70" i="4" s="1"/>
  <c r="AU104" i="5"/>
  <c r="BO104" i="4" s="1"/>
  <c r="AU113" i="5"/>
  <c r="BO113" i="4" s="1"/>
  <c r="AU124" i="5"/>
  <c r="BO124" i="4" s="1"/>
  <c r="AU125" i="5"/>
  <c r="BO125" i="4" s="1"/>
  <c r="AU126" i="5"/>
  <c r="BO126" i="4" s="1"/>
  <c r="AU94" i="5"/>
  <c r="BO94" i="4" s="1"/>
  <c r="AU97" i="5"/>
  <c r="BO97" i="4" s="1"/>
  <c r="AU128" i="5"/>
  <c r="AU80" i="5"/>
  <c r="BO80" i="4" s="1"/>
  <c r="AU116" i="5"/>
  <c r="BO116" i="4" s="1"/>
  <c r="AU130" i="5"/>
  <c r="BO130" i="4" s="1"/>
  <c r="BC72" i="7"/>
  <c r="BG72" i="7" s="1"/>
  <c r="BI72" i="7" s="1"/>
  <c r="BC71" i="7"/>
  <c r="BG71" i="7" s="1"/>
  <c r="BI71" i="7" s="1"/>
  <c r="BC79" i="7"/>
  <c r="BG79" i="7" s="1"/>
  <c r="BI79" i="7" s="1"/>
  <c r="AC76" i="9"/>
  <c r="AC94" i="9"/>
  <c r="AC98" i="9"/>
  <c r="BU97" i="4" l="1"/>
  <c r="BW97" i="4" s="1"/>
  <c r="BU107" i="4"/>
  <c r="BW107" i="4" s="1"/>
  <c r="BU85" i="4"/>
  <c r="BW85" i="4" s="1"/>
  <c r="BU89" i="4"/>
  <c r="BW89" i="4" s="1"/>
  <c r="BU130" i="4"/>
  <c r="BW130" i="4" s="1"/>
  <c r="BU104" i="4"/>
  <c r="BW104" i="4" s="1"/>
  <c r="BU102" i="4"/>
  <c r="BW102" i="4" s="1"/>
  <c r="BU122" i="4"/>
  <c r="BW122" i="4" s="1"/>
  <c r="BU88" i="4"/>
  <c r="BW88" i="4" s="1"/>
  <c r="BU101" i="4"/>
  <c r="BW101" i="4" s="1"/>
  <c r="BU110" i="4"/>
  <c r="BW110" i="4" s="1"/>
  <c r="BU106" i="4"/>
  <c r="BW106" i="4" s="1"/>
  <c r="BU96" i="4"/>
  <c r="BW96" i="4" s="1"/>
  <c r="BU71" i="4"/>
  <c r="BW71" i="4" s="1"/>
  <c r="BU121" i="4"/>
  <c r="BW121" i="4" s="1"/>
  <c r="BU116" i="4"/>
  <c r="BW116" i="4" s="1"/>
  <c r="BU79" i="4"/>
  <c r="BW79" i="4" s="1"/>
  <c r="BU125" i="4"/>
  <c r="BW125" i="4" s="1"/>
  <c r="BU119" i="4"/>
  <c r="BW119" i="4" s="1"/>
  <c r="BU111" i="4"/>
  <c r="BW111" i="4" s="1"/>
  <c r="BU129" i="4"/>
  <c r="BW129" i="4" s="1"/>
  <c r="BU91" i="4"/>
  <c r="BW91" i="4" s="1"/>
  <c r="BU90" i="4"/>
  <c r="BW90" i="4" s="1"/>
  <c r="BU95" i="4"/>
  <c r="BW95" i="4" s="1"/>
  <c r="BU87" i="4"/>
  <c r="BW87" i="4" s="1"/>
  <c r="BU74" i="4"/>
  <c r="BW74" i="4" s="1"/>
  <c r="BU114" i="4"/>
  <c r="BW114" i="4" s="1"/>
  <c r="BU124" i="4"/>
  <c r="BW124" i="4" s="1"/>
  <c r="BU92" i="4"/>
  <c r="BW92" i="4" s="1"/>
  <c r="BU75" i="4"/>
  <c r="BW75" i="4" s="1"/>
  <c r="BU83" i="4"/>
  <c r="BW83" i="4" s="1"/>
  <c r="BU123" i="4"/>
  <c r="BW123" i="4" s="1"/>
  <c r="BU93" i="4"/>
  <c r="BW93" i="4" s="1"/>
  <c r="BU94" i="4"/>
  <c r="BW94" i="4" s="1"/>
  <c r="BU113" i="4"/>
  <c r="BW113" i="4" s="1"/>
  <c r="BU78" i="4"/>
  <c r="BW78" i="4" s="1"/>
  <c r="BU76" i="4"/>
  <c r="BW76" i="4" s="1"/>
  <c r="BU117" i="4"/>
  <c r="BW117" i="4" s="1"/>
  <c r="BU86" i="4"/>
  <c r="BW86" i="4" s="1"/>
  <c r="BU120" i="4"/>
  <c r="BW120" i="4" s="1"/>
  <c r="BU98" i="4"/>
  <c r="BW98" i="4" s="1"/>
  <c r="BU112" i="4"/>
  <c r="BW112" i="4" s="1"/>
  <c r="BU73" i="4"/>
  <c r="BW73" i="4" s="1"/>
  <c r="BU99" i="4"/>
  <c r="BW99" i="4" s="1"/>
  <c r="BU126" i="4"/>
  <c r="BW126" i="4" s="1"/>
  <c r="BU118" i="4"/>
  <c r="BW118" i="4" s="1"/>
  <c r="BU115" i="4"/>
  <c r="BW115" i="4" s="1"/>
  <c r="BU105" i="4"/>
  <c r="BW105" i="4" s="1"/>
  <c r="BU103" i="4"/>
  <c r="BW103" i="4" s="1"/>
  <c r="BU100" i="4"/>
  <c r="BW100" i="4" s="1"/>
  <c r="BU84" i="4"/>
  <c r="BW84" i="4" s="1"/>
  <c r="BU80" i="4"/>
  <c r="BW80" i="4" s="1"/>
  <c r="BU81" i="4"/>
  <c r="BW81" i="4" s="1"/>
  <c r="BU77" i="4"/>
  <c r="BW77" i="4" s="1"/>
  <c r="BU72" i="4"/>
  <c r="BW72" i="4" s="1"/>
  <c r="BU70" i="4"/>
  <c r="BW70" i="4" s="1"/>
  <c r="BU69" i="4"/>
  <c r="BW69" i="4" s="1"/>
  <c r="BX81" i="11"/>
  <c r="BZ81" i="11" s="1"/>
  <c r="BX92" i="11"/>
  <c r="BZ92" i="11" s="1"/>
  <c r="BR91" i="11"/>
  <c r="BX91" i="11" s="1"/>
  <c r="BZ91" i="11" s="1"/>
  <c r="BO128" i="4"/>
  <c r="BX119" i="11"/>
  <c r="BZ119" i="11" s="1"/>
  <c r="BR118" i="11"/>
  <c r="BX118" i="11" s="1"/>
  <c r="BZ118" i="11" s="1"/>
  <c r="BR80" i="11"/>
  <c r="BX80" i="11" s="1"/>
  <c r="BZ80" i="11" s="1"/>
  <c r="BX79" i="11"/>
  <c r="BZ79" i="11" s="1"/>
  <c r="BR90" i="11"/>
  <c r="BX90" i="11" s="1"/>
  <c r="BZ90" i="11" s="1"/>
  <c r="BR78" i="11"/>
  <c r="BX78" i="11" s="1"/>
  <c r="BZ78" i="11" s="1"/>
  <c r="BO127" i="4"/>
  <c r="BX115" i="11"/>
  <c r="BZ115" i="11" s="1"/>
  <c r="BR114" i="11"/>
  <c r="BX114" i="11" s="1"/>
  <c r="BZ114" i="11" s="1"/>
  <c r="BX101" i="11"/>
  <c r="BZ101" i="11" s="1"/>
  <c r="BR100" i="11"/>
  <c r="BX100" i="11" s="1"/>
  <c r="BZ100" i="11" s="1"/>
  <c r="BZ70" i="11"/>
  <c r="BX69" i="11"/>
  <c r="BZ69" i="11" s="1"/>
  <c r="BX72" i="11"/>
  <c r="BZ72" i="11" s="1"/>
  <c r="BR71" i="11"/>
  <c r="BX71" i="11" s="1"/>
  <c r="BZ71" i="11" s="1"/>
  <c r="BX95" i="11"/>
  <c r="BZ95" i="11" s="1"/>
  <c r="BR94" i="11"/>
  <c r="BX94" i="11" s="1"/>
  <c r="BZ94" i="11" s="1"/>
  <c r="BU128" i="4" l="1"/>
  <c r="BW128" i="4" s="1"/>
  <c r="BU127" i="4"/>
  <c r="BW127" i="4" s="1"/>
  <c r="BA83" i="7" l="1"/>
  <c r="BC83" i="7" s="1"/>
  <c r="BG83" i="7" s="1"/>
  <c r="BI83" i="7" s="1"/>
</calcChain>
</file>

<file path=xl/sharedStrings.xml><?xml version="1.0" encoding="utf-8"?>
<sst xmlns="http://schemas.openxmlformats.org/spreadsheetml/2006/main" count="4479" uniqueCount="377">
  <si>
    <t>Summary Data from the Statement of Net Assets - Governmental Activities</t>
  </si>
  <si>
    <t>Amounts</t>
  </si>
  <si>
    <t>Assets</t>
  </si>
  <si>
    <t>Net Assets</t>
  </si>
  <si>
    <t>Statement</t>
  </si>
  <si>
    <t>Current</t>
  </si>
  <si>
    <t>Capital</t>
  </si>
  <si>
    <t>Deferred</t>
  </si>
  <si>
    <t>Total</t>
  </si>
  <si>
    <t>Long-term Liabilities</t>
  </si>
  <si>
    <t>Invested in</t>
  </si>
  <si>
    <t>Balances if</t>
  </si>
  <si>
    <t>County</t>
  </si>
  <si>
    <t>IRN #</t>
  </si>
  <si>
    <t>Investments</t>
  </si>
  <si>
    <t>Liabilities</t>
  </si>
  <si>
    <t>More Than 1 Yr</t>
  </si>
  <si>
    <t>Capital Assets</t>
  </si>
  <si>
    <t>Restricted</t>
  </si>
  <si>
    <t>Unrestricted</t>
  </si>
  <si>
    <t>Value is "0"</t>
  </si>
  <si>
    <t>Hardin</t>
  </si>
  <si>
    <t>Revenues from the Statement of Activities - Governmental Activities</t>
  </si>
  <si>
    <t>Program Revenues - Governmental Activities</t>
  </si>
  <si>
    <t xml:space="preserve"> </t>
  </si>
  <si>
    <t>Operating</t>
  </si>
  <si>
    <t>General</t>
  </si>
  <si>
    <t>Grants,</t>
  </si>
  <si>
    <t>Extra-</t>
  </si>
  <si>
    <t>Payments in</t>
  </si>
  <si>
    <t>Contributions</t>
  </si>
  <si>
    <t>Revenues</t>
  </si>
  <si>
    <t>Charges for</t>
  </si>
  <si>
    <t>Program</t>
  </si>
  <si>
    <t>Property</t>
  </si>
  <si>
    <t>Grants and</t>
  </si>
  <si>
    <t>Investment</t>
  </si>
  <si>
    <t>Tuition</t>
  </si>
  <si>
    <t>curricular</t>
  </si>
  <si>
    <t>Lieu of</t>
  </si>
  <si>
    <t>and</t>
  </si>
  <si>
    <t>Transfers-</t>
  </si>
  <si>
    <t xml:space="preserve">Special </t>
  </si>
  <si>
    <t>Services</t>
  </si>
  <si>
    <t>and Interest</t>
  </si>
  <si>
    <t>Grants</t>
  </si>
  <si>
    <t>Taxes</t>
  </si>
  <si>
    <t>Entitlements</t>
  </si>
  <si>
    <t>Earnings</t>
  </si>
  <si>
    <t>and Fees</t>
  </si>
  <si>
    <t>Activities</t>
  </si>
  <si>
    <t>Donations</t>
  </si>
  <si>
    <t>Items</t>
  </si>
  <si>
    <t>This Column</t>
  </si>
  <si>
    <t>Should not</t>
  </si>
  <si>
    <t>exist</t>
  </si>
  <si>
    <t>Instruction</t>
  </si>
  <si>
    <t>Support Services</t>
  </si>
  <si>
    <t>Operation and</t>
  </si>
  <si>
    <t>outlay and</t>
  </si>
  <si>
    <t>and Activities</t>
  </si>
  <si>
    <t>Instructional</t>
  </si>
  <si>
    <t>Board of</t>
  </si>
  <si>
    <t>Maintenance</t>
  </si>
  <si>
    <t>Pupil</t>
  </si>
  <si>
    <t>Food</t>
  </si>
  <si>
    <t>Extracurricular</t>
  </si>
  <si>
    <t>Transfers</t>
  </si>
  <si>
    <t>debt</t>
  </si>
  <si>
    <t>All Other</t>
  </si>
  <si>
    <t>Beginning</t>
  </si>
  <si>
    <t>End of</t>
  </si>
  <si>
    <t>Balance if</t>
  </si>
  <si>
    <t>Special</t>
  </si>
  <si>
    <t>Vocational</t>
  </si>
  <si>
    <t>Staff</t>
  </si>
  <si>
    <t>Education</t>
  </si>
  <si>
    <t>Administration</t>
  </si>
  <si>
    <t>Fiscal</t>
  </si>
  <si>
    <t>Business</t>
  </si>
  <si>
    <t>of Plant</t>
  </si>
  <si>
    <t>Transportation</t>
  </si>
  <si>
    <t>Central</t>
  </si>
  <si>
    <t>Service</t>
  </si>
  <si>
    <t>Other</t>
  </si>
  <si>
    <t>Interest</t>
  </si>
  <si>
    <t>Out</t>
  </si>
  <si>
    <t>principal</t>
  </si>
  <si>
    <t>Expenses</t>
  </si>
  <si>
    <t>of Year</t>
  </si>
  <si>
    <t>Year</t>
  </si>
  <si>
    <t>Summary Data from the General Fund Balance Sheet</t>
  </si>
  <si>
    <t>Cash and</t>
  </si>
  <si>
    <t>Fund</t>
  </si>
  <si>
    <t>Balances</t>
  </si>
  <si>
    <t>Revenue</t>
  </si>
  <si>
    <t>Fund Balance</t>
  </si>
  <si>
    <t>General Fund Revenues - Modified Accrual Basis of Accounting</t>
  </si>
  <si>
    <t>Other Financing Sources</t>
  </si>
  <si>
    <t>Payments</t>
  </si>
  <si>
    <t>Inter-</t>
  </si>
  <si>
    <t>in Lieu</t>
  </si>
  <si>
    <t>Note</t>
  </si>
  <si>
    <t>Bond</t>
  </si>
  <si>
    <t>Financing</t>
  </si>
  <si>
    <t>governmental</t>
  </si>
  <si>
    <t>of Taxes</t>
  </si>
  <si>
    <t>Transfers in</t>
  </si>
  <si>
    <t>Advances in</t>
  </si>
  <si>
    <t>Proceeds</t>
  </si>
  <si>
    <t>Sources</t>
  </si>
  <si>
    <t>General Fund Expenditures - Modified Accrual Basis of Accounting</t>
  </si>
  <si>
    <t>Debt Service</t>
  </si>
  <si>
    <t>Other Financing Uses</t>
  </si>
  <si>
    <t>Net</t>
  </si>
  <si>
    <t>All</t>
  </si>
  <si>
    <t>Expenditures</t>
  </si>
  <si>
    <t>Change in</t>
  </si>
  <si>
    <t>Balance</t>
  </si>
  <si>
    <t>Principal</t>
  </si>
  <si>
    <t>Advances</t>
  </si>
  <si>
    <t>End</t>
  </si>
  <si>
    <t>Fund Bal.</t>
  </si>
  <si>
    <t>Outlay</t>
  </si>
  <si>
    <t>Uses</t>
  </si>
  <si>
    <t>Other Uses</t>
  </si>
  <si>
    <t>Summary Data from the Governmental Fund Balance Sheet</t>
  </si>
  <si>
    <t>Governmental Fund Revenues - Modified Accrual Basis of Accounting</t>
  </si>
  <si>
    <t>Miscellaneous</t>
  </si>
  <si>
    <t>Long-Term Obligations</t>
  </si>
  <si>
    <t>Due in More</t>
  </si>
  <si>
    <t>Than One Year/Tie</t>
  </si>
  <si>
    <t>Obligation</t>
  </si>
  <si>
    <t>Notes</t>
  </si>
  <si>
    <t>Compensated</t>
  </si>
  <si>
    <t>Due within</t>
  </si>
  <si>
    <t xml:space="preserve">to Statement of </t>
  </si>
  <si>
    <t>Bonds</t>
  </si>
  <si>
    <t>Loans</t>
  </si>
  <si>
    <t>Payables</t>
  </si>
  <si>
    <t>Leases</t>
  </si>
  <si>
    <t>Absences</t>
  </si>
  <si>
    <t>Obligations</t>
  </si>
  <si>
    <t>One Year</t>
  </si>
  <si>
    <t>Lorain</t>
  </si>
  <si>
    <t>Ashland</t>
  </si>
  <si>
    <t>Ashtabula</t>
  </si>
  <si>
    <t>Athens</t>
  </si>
  <si>
    <t>Lake</t>
  </si>
  <si>
    <t>Butler</t>
  </si>
  <si>
    <t>Athens-Meigs Educ Srv Ctr</t>
  </si>
  <si>
    <t>Belmont</t>
  </si>
  <si>
    <t>Brown</t>
  </si>
  <si>
    <t>Champaign</t>
  </si>
  <si>
    <t>Clark</t>
  </si>
  <si>
    <t>Clermont County Educ Srv Ctr</t>
  </si>
  <si>
    <t>Clermont</t>
  </si>
  <si>
    <t>Clinton</t>
  </si>
  <si>
    <t>Columbiana</t>
  </si>
  <si>
    <t>Cuyahoga</t>
  </si>
  <si>
    <t>Darke</t>
  </si>
  <si>
    <t>Delaware</t>
  </si>
  <si>
    <t>Erie</t>
  </si>
  <si>
    <t>Fairfield</t>
  </si>
  <si>
    <t>Franklin</t>
  </si>
  <si>
    <t>Northwest Ohio Educ Srv Ctr</t>
  </si>
  <si>
    <t>Gallia-Vinton Educ Srv Ctr</t>
  </si>
  <si>
    <t>Gallia</t>
  </si>
  <si>
    <t>Geauga</t>
  </si>
  <si>
    <t>Greene</t>
  </si>
  <si>
    <t>Hamilton</t>
  </si>
  <si>
    <t>Hancock</t>
  </si>
  <si>
    <t>Jefferson</t>
  </si>
  <si>
    <t>Knox</t>
  </si>
  <si>
    <t>Lawrence</t>
  </si>
  <si>
    <t>Licking</t>
  </si>
  <si>
    <t>Logan</t>
  </si>
  <si>
    <t>Lucas</t>
  </si>
  <si>
    <t>Mahoning</t>
  </si>
  <si>
    <t>Medina County Educ Srv Ctr</t>
  </si>
  <si>
    <t>Medina</t>
  </si>
  <si>
    <t>Mercer</t>
  </si>
  <si>
    <t>Miami</t>
  </si>
  <si>
    <t>Montgomery</t>
  </si>
  <si>
    <t>Muskingum Valley Educ Srv Ctr</t>
  </si>
  <si>
    <t>Muskingum</t>
  </si>
  <si>
    <t>Perry</t>
  </si>
  <si>
    <t>Pickaway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</si>
  <si>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</si>
  <si>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</si>
  <si>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</si>
  <si>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</si>
  <si>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</si>
  <si>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</si>
  <si>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</si>
  <si>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</si>
  <si>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</si>
  <si>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</si>
  <si>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</si>
  <si>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</si>
  <si>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</si>
  <si>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Western Buckeye Educ Srv Ctr</t>
  </si>
  <si>
    <t>Van Wert</t>
  </si>
  <si>
    <t>Warren</t>
  </si>
  <si>
    <t>Washington</t>
  </si>
  <si>
    <t>Wayne</t>
  </si>
  <si>
    <t>Wood</t>
  </si>
  <si>
    <t>Southern Hills JVSD</t>
  </si>
  <si>
    <t>U S Grant JVSD</t>
  </si>
  <si>
    <t>Coshocton</t>
  </si>
  <si>
    <t>Gallia-Jackson-Vinton JVSD</t>
  </si>
  <si>
    <t>Henry</t>
  </si>
  <si>
    <t>Jefferson County JVSD</t>
  </si>
  <si>
    <t>Lawrence County JVSD</t>
  </si>
  <si>
    <t>Ohio Hi-Point JVSD</t>
  </si>
  <si>
    <t>Lorain County JVSD</t>
  </si>
  <si>
    <t>Madison</t>
  </si>
  <si>
    <t>Tri-Rivers JVSD</t>
  </si>
  <si>
    <t>Marion</t>
  </si>
  <si>
    <t>Medina County JVSD</t>
  </si>
  <si>
    <t>Pike</t>
  </si>
  <si>
    <t>Stark County Area JVSD</t>
  </si>
  <si>
    <t>Buckeye JVSD</t>
  </si>
  <si>
    <t>Proceeds From</t>
  </si>
  <si>
    <t>Lease</t>
  </si>
  <si>
    <t>Sale of</t>
  </si>
  <si>
    <t>Inventory</t>
  </si>
  <si>
    <t>in Reserve for</t>
  </si>
  <si>
    <t>Refund of</t>
  </si>
  <si>
    <t>Prior Year's</t>
  </si>
  <si>
    <t xml:space="preserve">Refund of </t>
  </si>
  <si>
    <t xml:space="preserve">Prior Year's </t>
  </si>
  <si>
    <t>Inception</t>
  </si>
  <si>
    <t>of Capital</t>
  </si>
  <si>
    <t>Inception of</t>
  </si>
  <si>
    <t xml:space="preserve"> Other</t>
  </si>
  <si>
    <t>Receipts</t>
  </si>
  <si>
    <t>(Decrease)</t>
  </si>
  <si>
    <t>Increase or</t>
  </si>
  <si>
    <t>Special Items</t>
  </si>
  <si>
    <t>In / (Out)</t>
  </si>
  <si>
    <t>Ashland County-West Holmes JVSD</t>
  </si>
  <si>
    <t>Delaware Area Career Center</t>
  </si>
  <si>
    <t>Cuyahoga Valley Career Center</t>
  </si>
  <si>
    <t>Ehove Career Center</t>
  </si>
  <si>
    <t>Coshocton County Career Center</t>
  </si>
  <si>
    <t>Four County Career Center</t>
  </si>
  <si>
    <t>Knox County Career Center</t>
  </si>
  <si>
    <t>Maplewood Career Center</t>
  </si>
  <si>
    <t>Pike County JVSD</t>
  </si>
  <si>
    <t>Polaris Career Center</t>
  </si>
  <si>
    <t>Portage Lakes Career Center</t>
  </si>
  <si>
    <t>Scioto County JVSD</t>
  </si>
  <si>
    <t>Vanguard-Sentinel Career Center</t>
  </si>
  <si>
    <t>Vantage Career Center</t>
  </si>
  <si>
    <t>Career Centers/Joint Vocational School Districts</t>
  </si>
  <si>
    <t>Educational Service Centers</t>
  </si>
  <si>
    <t>(Continued)</t>
  </si>
  <si>
    <t>All Career Centers/Joint Vocational School Districts and Educantional Service Centers Reporting Under GAAP</t>
  </si>
  <si>
    <t>Governmental Fund Expenditures - Modified Accrual Basis of Accounting</t>
  </si>
  <si>
    <t>All Career Centers/Joint Vocational School Districts and Educational Service Centers Reporting Under GAAP</t>
  </si>
  <si>
    <t>Paulding</t>
  </si>
  <si>
    <t>Guernsey</t>
  </si>
  <si>
    <t>Allen</t>
  </si>
  <si>
    <t>Auglaize</t>
  </si>
  <si>
    <t>Southern Ohio Educ Srv Ctr</t>
  </si>
  <si>
    <t>South Central Ohio Educ Srv Ctr</t>
  </si>
  <si>
    <t>Washington County Career Center</t>
  </si>
  <si>
    <t>North Central Ohio Educ Srv Ctr</t>
  </si>
  <si>
    <t xml:space="preserve">Expenses from the Statement of Activities - Governmental Activities </t>
  </si>
  <si>
    <t>Total Program</t>
  </si>
  <si>
    <t xml:space="preserve">and General </t>
  </si>
  <si>
    <t xml:space="preserve">Revenues, </t>
  </si>
  <si>
    <t>Transfers, and</t>
  </si>
  <si>
    <t>Revenues, Other</t>
  </si>
  <si>
    <t>Financing Sources</t>
  </si>
  <si>
    <t>Central Ohio JVSD- now Tolles Career &amp; Technical Center since 2005</t>
  </si>
  <si>
    <t>Tolles Career and Technical Center</t>
  </si>
  <si>
    <t>Career and Technology Education Centers of Licking County</t>
  </si>
  <si>
    <t>Erie-Huron-Ottawa Educ Srv Ctr-now North Point ESC</t>
  </si>
  <si>
    <t>Mid-Ohio Educ Srv Ctr  (CASH)</t>
  </si>
  <si>
    <t>Clinton Fayette Highland Educ-now Southern Ohio ESC</t>
  </si>
  <si>
    <t>District</t>
  </si>
  <si>
    <t>Non-Instructional Services</t>
  </si>
  <si>
    <t>Nonspendable</t>
  </si>
  <si>
    <t>Committed</t>
  </si>
  <si>
    <t>Assigned</t>
  </si>
  <si>
    <t>Unassigned</t>
  </si>
  <si>
    <t>Apollo Career Center</t>
  </si>
  <si>
    <t>Licking Co Career &amp; Tech Center</t>
  </si>
  <si>
    <t>Tri County Career Center</t>
  </si>
  <si>
    <t>Brown County Educ Srv Ctr</t>
  </si>
  <si>
    <t>Butler County Educ Srv Ctr</t>
  </si>
  <si>
    <t>Clark County Educ Srv Ctr</t>
  </si>
  <si>
    <t>Auburn VSD</t>
  </si>
  <si>
    <t>Belmont-Harrison VSD</t>
  </si>
  <si>
    <t>Greene County Educ Srv Ctr</t>
  </si>
  <si>
    <t>Hamilton County Educ Srv Ctr</t>
  </si>
  <si>
    <t>Hancock County Educ Srv Ctr</t>
  </si>
  <si>
    <t>Jefferson County Educ Srv Ctr</t>
  </si>
  <si>
    <t>Knox County Educ Srv Ctr</t>
  </si>
  <si>
    <t>Lake County Educ Srv Ctr</t>
  </si>
  <si>
    <t>Lawrence County Educ Srv Ctr</t>
  </si>
  <si>
    <t>Licking County Educ Srv Ctr</t>
  </si>
  <si>
    <t>Logan County Educ Srv Ctr</t>
  </si>
  <si>
    <t>North Point Educ Srv Ctr</t>
  </si>
  <si>
    <t>Sandusky Educ Srv Ctr - merged with two other ESC</t>
  </si>
  <si>
    <t>Tuscarawas-Carroll-Harrison Educ Srv Ctr - now East Ctl OH ESC</t>
  </si>
  <si>
    <t>Washington Educ Srv Ctr - merged with Ohio Valley ESC</t>
  </si>
  <si>
    <t>East Central Ohio Educ Srv Ctr</t>
  </si>
  <si>
    <t>Columbiana County Educ Srv Ctr</t>
  </si>
  <si>
    <t>Delaware-Union Educ Srv Ctr - see note to right</t>
  </si>
  <si>
    <t>Cuyahoga Educ Srv Ctr-now Educ Srv Ctr of Cuyahoga County</t>
  </si>
  <si>
    <t>Within 1 Yr</t>
  </si>
  <si>
    <t>Ohio Valley Educ Srv Ctr</t>
  </si>
  <si>
    <t>Darke County Educ Srv Ctr (CASH)</t>
  </si>
  <si>
    <t xml:space="preserve"> In some instances, numbers were rounded on the financial statements.</t>
  </si>
  <si>
    <t>In some instances, numbers were rounded on the financial statements.</t>
  </si>
  <si>
    <t>Educational Service Center of Central Ohio</t>
  </si>
  <si>
    <t>Geauga County Educ Srv Ctr</t>
  </si>
  <si>
    <t>Fairfield County Educ Srv Ctr</t>
  </si>
  <si>
    <t>Greene County VSD</t>
  </si>
  <si>
    <t>Madison-Champaign Educ Srv Ctr (CASH)</t>
  </si>
  <si>
    <t>Mahoning County Educ Srv Ctr</t>
  </si>
  <si>
    <t>Mercer County Educ Srv Ctr (CASH)</t>
  </si>
  <si>
    <t>Miami County Educ Srv Ctr</t>
  </si>
  <si>
    <t>Montgomery County Educ Srv Ctr</t>
  </si>
  <si>
    <t>Fulton</t>
  </si>
  <si>
    <t>Penta Career Center</t>
  </si>
  <si>
    <t>Portage County Educ Srv Ctr</t>
  </si>
  <si>
    <t>Preble County Educ Srv Ctr (CASH)</t>
  </si>
  <si>
    <t>Putnam County Educ Srv Ctr</t>
  </si>
  <si>
    <t>Ross-Pike Educ Srv District</t>
  </si>
  <si>
    <t>Allen County Educ Srv Ctr (CASH)</t>
  </si>
  <si>
    <t>Ashtabula County Educ Srv Ctr (CASH)</t>
  </si>
  <si>
    <t>Auglaize County Educ Srv Ctr (CASH)</t>
  </si>
  <si>
    <t xml:space="preserve">Stark County Educ Srv Ctr  </t>
  </si>
  <si>
    <t>Summit County Educ Srv Ctr</t>
  </si>
  <si>
    <t>Pickaway County Educ Srv Ctr</t>
  </si>
  <si>
    <t>Trumbull County Educ Srv Ctr</t>
  </si>
  <si>
    <t>Wood County Educ Srv Ctr</t>
  </si>
  <si>
    <t>Warren County Educ Srv Ctr (CASH)</t>
  </si>
  <si>
    <t>Fund Balances</t>
  </si>
  <si>
    <t>General Revenues - Governmental Activities</t>
  </si>
  <si>
    <t>(continued)</t>
  </si>
  <si>
    <t>Support Services (continued)</t>
  </si>
  <si>
    <t>Other Financing Sources (continued)</t>
  </si>
  <si>
    <t>Pupils</t>
  </si>
  <si>
    <t>Regular</t>
  </si>
  <si>
    <t>Retirement</t>
  </si>
  <si>
    <t>As of June 30, 2012</t>
  </si>
  <si>
    <t>For the Fiscal Year Ended June 30, 2012</t>
  </si>
  <si>
    <t>Extraordinary /</t>
  </si>
  <si>
    <t>Continuing</t>
  </si>
  <si>
    <t>Adult /</t>
  </si>
  <si>
    <t>and Extraordinary /</t>
  </si>
  <si>
    <t>Ashtabula County Technical and Career Center</t>
  </si>
  <si>
    <t>Hardin County Educ Srv Ctr (CASH)</t>
  </si>
  <si>
    <t>Lucas County Educ Srv Ctr-now Educ Srv Ctr of Lake Erie West</t>
  </si>
  <si>
    <t>Lorain County Educ Srv Ctr-now Educ Svr Ctr of Lorain County</t>
  </si>
  <si>
    <t>Warren County VSD</t>
  </si>
  <si>
    <t>Wayne County Schools Career Center</t>
  </si>
  <si>
    <t>Tri-County Educ Srv Ctr (CASH)</t>
  </si>
  <si>
    <t>Upper Valley Career Center</t>
  </si>
  <si>
    <t>Perry-Hocking Educ Srv Ctr -  merged with Muskingum Valley ESC</t>
  </si>
  <si>
    <t>Columbiana County Career and Technical Center</t>
  </si>
  <si>
    <t>Butler Technology and Career Development Schools</t>
  </si>
  <si>
    <t>Eastland-Fairfield Career and Technical Schools</t>
  </si>
  <si>
    <t>Great Oaks Inst of Technology and Career Development</t>
  </si>
  <si>
    <t>Mahoning Co Career and Technical Center</t>
  </si>
  <si>
    <t>Miami Valley Career Technology Center</t>
  </si>
  <si>
    <t>Mid-East Career and Technology Center</t>
  </si>
  <si>
    <t>Pickaway-Ross Career and Technology Center</t>
  </si>
  <si>
    <t>Pioneer Career and Technology Center</t>
  </si>
  <si>
    <t>Springfield-Clark Co Career Technology Center</t>
  </si>
  <si>
    <t>Trumbull Career and Technical Center</t>
  </si>
  <si>
    <t>Shelby County Educ Srv Ctr (CASH)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</si>
</sst>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9"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u/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7.5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2">
    <xf numFmtId="0" fontId="0" fillId="0" borderId="0"/>
    <xf numFmtId="3" fontId="5" fillId="0" borderId="0" applyFont="0" applyFill="0" applyBorder="0" applyAlignment="0" applyProtection="0"/>
  </cellStyleXfs>
  <cellXfs count="73">
    <xf numFmtId="0" fontId="0" fillId="0" borderId="0" xfId="0"/>
    <xf numFmtId="37" fontId="2" fillId="0" borderId="0" xfId="0" applyNumberFormat="1" applyFont="1" applyFill="1" applyBorder="1"/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/>
    <xf numFmtId="37" fontId="1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37" fontId="1" fillId="0" borderId="0" xfId="0" applyNumberFormat="1" applyFont="1" applyFill="1"/>
    <xf numFmtId="37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7" fontId="2" fillId="0" borderId="2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4" fillId="0" borderId="0" xfId="0" applyNumberFormat="1" applyFont="1" applyFill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7" fontId="2" fillId="0" borderId="0" xfId="0" applyNumberFormat="1" applyFont="1" applyFill="1" applyAlignment="1">
      <alignment horizontal="right"/>
    </xf>
    <xf numFmtId="0" fontId="0" fillId="0" borderId="0" xfId="0" applyFill="1"/>
    <xf numFmtId="0" fontId="1" fillId="0" borderId="0" xfId="0" applyFont="1" applyFill="1"/>
    <xf numFmtId="5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2" fillId="0" borderId="0" xfId="1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 wrapText="1"/>
    </xf>
    <xf numFmtId="0" fontId="2" fillId="0" borderId="0" xfId="0" applyFont="1" applyFill="1" applyBorder="1"/>
    <xf numFmtId="37" fontId="2" fillId="0" borderId="0" xfId="0" applyNumberFormat="1" applyFont="1" applyFill="1" applyAlignment="1"/>
    <xf numFmtId="0" fontId="6" fillId="0" borderId="0" xfId="0" applyFont="1" applyFill="1"/>
    <xf numFmtId="0" fontId="6" fillId="0" borderId="0" xfId="0" applyFont="1" applyFill="1" applyBorder="1"/>
    <xf numFmtId="37" fontId="7" fillId="0" borderId="0" xfId="0" applyNumberFormat="1" applyFont="1" applyFill="1" applyAlignment="1"/>
    <xf numFmtId="37" fontId="6" fillId="0" borderId="0" xfId="0" applyNumberFormat="1" applyFont="1" applyFill="1"/>
    <xf numFmtId="37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37" fontId="2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/>
    <xf numFmtId="37" fontId="2" fillId="0" borderId="1" xfId="0" applyNumberFormat="1" applyFont="1" applyFill="1" applyBorder="1" applyAlignment="1">
      <alignment horizontal="centerContinuous"/>
    </xf>
    <xf numFmtId="37" fontId="1" fillId="0" borderId="1" xfId="0" applyNumberFormat="1" applyFont="1" applyFill="1" applyBorder="1" applyAlignment="1">
      <alignment horizontal="centerContinuous"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 horizontal="centerContinuous"/>
    </xf>
    <xf numFmtId="37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horizontal="centerContinuous"/>
    </xf>
    <xf numFmtId="37" fontId="2" fillId="0" borderId="1" xfId="0" applyNumberFormat="1" applyFont="1" applyFill="1" applyBorder="1"/>
    <xf numFmtId="0" fontId="2" fillId="0" borderId="0" xfId="0" applyFont="1" applyFill="1" applyAlignment="1">
      <alignment horizontal="left"/>
    </xf>
    <xf numFmtId="0" fontId="7" fillId="0" borderId="0" xfId="0" applyFont="1" applyFill="1" applyAlignment="1"/>
    <xf numFmtId="5" fontId="2" fillId="0" borderId="0" xfId="0" applyNumberFormat="1" applyFont="1" applyFill="1" applyAlignment="1"/>
    <xf numFmtId="0" fontId="2" fillId="0" borderId="0" xfId="0" applyFont="1" applyFill="1" applyAlignment="1"/>
    <xf numFmtId="37" fontId="1" fillId="0" borderId="0" xfId="0" applyNumberFormat="1" applyFont="1" applyFill="1" applyBorder="1" applyAlignment="1">
      <alignment horizontal="centerContinuous"/>
    </xf>
    <xf numFmtId="37" fontId="1" fillId="0" borderId="0" xfId="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7" fontId="8" fillId="0" borderId="0" xfId="0" applyNumberFormat="1" applyFont="1" applyFill="1"/>
    <xf numFmtId="0" fontId="2" fillId="0" borderId="0" xfId="0" applyNumberFormat="1" applyFont="1" applyFill="1"/>
    <xf numFmtId="37" fontId="2" fillId="0" borderId="1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left"/>
    </xf>
    <xf numFmtId="5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5" fontId="6" fillId="0" borderId="0" xfId="0" applyNumberFormat="1" applyFont="1" applyFill="1"/>
    <xf numFmtId="5" fontId="2" fillId="0" borderId="0" xfId="0" applyNumberFormat="1" applyFont="1" applyFill="1" applyAlignment="1">
      <alignment horizontal="right" wrapText="1"/>
    </xf>
    <xf numFmtId="5" fontId="2" fillId="0" borderId="0" xfId="0" applyNumberFormat="1" applyFont="1" applyFill="1" applyBorder="1" applyAlignment="1">
      <alignment horizontal="right"/>
    </xf>
    <xf numFmtId="5" fontId="2" fillId="0" borderId="0" xfId="1" applyNumberFormat="1" applyFont="1" applyFill="1" applyBorder="1" applyAlignment="1">
      <alignment horizontal="right"/>
    </xf>
    <xf numFmtId="5" fontId="2" fillId="0" borderId="0" xfId="0" applyNumberFormat="1" applyFont="1" applyFill="1" applyBorder="1"/>
    <xf numFmtId="37" fontId="6" fillId="0" borderId="0" xfId="0" applyNumberFormat="1" applyFont="1" applyFill="1" applyBorder="1"/>
    <xf numFmtId="3" fontId="6" fillId="0" borderId="0" xfId="0" applyNumberFormat="1" applyFont="1" applyFill="1"/>
    <xf numFmtId="37" fontId="1" fillId="0" borderId="0" xfId="0" applyNumberFormat="1" applyFont="1" applyFill="1" applyAlignment="1">
      <alignment horizontal="left"/>
    </xf>
    <xf numFmtId="37" fontId="2" fillId="0" borderId="1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left"/>
    </xf>
  </cellXfs>
  <cellStyles count="2">
    <cellStyle name="Comma0" xfId="1"/>
    <cellStyle name="Normal" xfId="0" builtinId="0"/>
  </cellStyles>
  <dxfs count="0"/>
  <tableStyles count="0" defaultTableStyle="TableStyleMedium9" defaultPivotStyle="PivotStyleLight16"/>
  <colors>
    <mruColors>
      <color rgb="FFFF66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0"/>
  <sheetViews>
    <sheetView tabSelected="1" view="pageBreakPreview" zoomScaleNormal="100" zoomScaleSheetLayoutView="100" workbookViewId="0">
      <pane xSplit="4" ySplit="10" topLeftCell="E11" activePane="bottomRight" state="frozen"/>
      <selection activeCell="M146" sqref="M146"/>
      <selection pane="topRight" activeCell="M146" sqref="M146"/>
      <selection pane="bottomLeft" activeCell="M146" sqref="M146"/>
      <selection pane="bottomRight" activeCell="A9" sqref="A9"/>
    </sheetView>
  </sheetViews>
  <sheetFormatPr defaultColWidth="9.140625" defaultRowHeight="12"/>
  <cols>
    <col min="1" max="1" width="40.7109375" style="3" customWidth="1"/>
    <col min="2" max="2" width="1.7109375" style="3" customWidth="1"/>
    <col min="3" max="3" width="10" style="3" customWidth="1"/>
    <col min="4" max="4" width="1.7109375" style="3" customWidth="1"/>
    <col min="5" max="5" width="11.7109375" style="3" customWidth="1"/>
    <col min="6" max="6" width="1.7109375" style="3" customWidth="1"/>
    <col min="7" max="7" width="11.7109375" style="3" customWidth="1"/>
    <col min="8" max="8" width="1.7109375" style="3" customWidth="1"/>
    <col min="9" max="9" width="11.7109375" style="3" customWidth="1"/>
    <col min="10" max="10" width="1.7109375" style="3" customWidth="1"/>
    <col min="11" max="11" width="11.7109375" style="3" customWidth="1"/>
    <col min="12" max="12" width="1.7109375" style="3" customWidth="1"/>
    <col min="13" max="13" width="11.7109375" style="3" customWidth="1"/>
    <col min="14" max="14" width="1.7109375" style="3" customWidth="1"/>
    <col min="15" max="15" width="11.7109375" style="3" customWidth="1"/>
    <col min="16" max="16" width="1.7109375" style="3" customWidth="1"/>
    <col min="17" max="17" width="11.7109375" style="3" customWidth="1"/>
    <col min="18" max="18" width="1.7109375" style="3" customWidth="1"/>
    <col min="19" max="19" width="11.7109375" style="3" customWidth="1"/>
    <col min="20" max="20" width="1.7109375" style="3" customWidth="1"/>
    <col min="21" max="21" width="11.7109375" style="3" customWidth="1"/>
    <col min="22" max="22" width="1.7109375" style="3" customWidth="1"/>
    <col min="23" max="23" width="11.7109375" style="3" customWidth="1"/>
    <col min="24" max="24" width="1.7109375" style="3" customWidth="1"/>
    <col min="25" max="25" width="11.7109375" style="3" customWidth="1"/>
    <col min="26" max="26" width="1.7109375" style="3" hidden="1" customWidth="1"/>
    <col min="27" max="27" width="11.7109375" style="3" hidden="1" customWidth="1"/>
    <col min="28" max="28" width="1.7109375" style="3" hidden="1" customWidth="1"/>
    <col min="29" max="29" width="11.7109375" style="3" hidden="1" customWidth="1"/>
    <col min="30" max="16384" width="9.140625" style="3"/>
  </cols>
  <sheetData>
    <row r="1" spans="1:29">
      <c r="A1" s="71" t="s">
        <v>0</v>
      </c>
      <c r="B1" s="71"/>
      <c r="C1" s="71"/>
      <c r="D1" s="71"/>
      <c r="E1" s="71"/>
      <c r="F1" s="71"/>
      <c r="G1" s="71"/>
    </row>
    <row r="2" spans="1:29">
      <c r="A2" s="6" t="s">
        <v>350</v>
      </c>
    </row>
    <row r="3" spans="1:29">
      <c r="A3" s="6"/>
      <c r="AA3" s="14"/>
    </row>
    <row r="4" spans="1:29">
      <c r="A4" s="6" t="s">
        <v>260</v>
      </c>
    </row>
    <row r="5" spans="1:29">
      <c r="A5" s="6"/>
    </row>
    <row r="6" spans="1:29">
      <c r="A6" s="26" t="s">
        <v>317</v>
      </c>
    </row>
    <row r="7" spans="1:29">
      <c r="A7" s="6"/>
    </row>
    <row r="8" spans="1:29">
      <c r="D8" s="1"/>
      <c r="E8" s="70" t="s">
        <v>2</v>
      </c>
      <c r="F8" s="70"/>
      <c r="G8" s="70"/>
      <c r="H8" s="70"/>
      <c r="I8" s="38"/>
      <c r="K8" s="70" t="s">
        <v>15</v>
      </c>
      <c r="L8" s="70"/>
      <c r="M8" s="70"/>
      <c r="N8" s="70"/>
      <c r="O8" s="70"/>
      <c r="P8" s="38"/>
      <c r="Q8" s="38"/>
      <c r="S8" s="70" t="s">
        <v>3</v>
      </c>
      <c r="T8" s="70"/>
      <c r="U8" s="70"/>
      <c r="V8" s="70"/>
      <c r="W8" s="70"/>
      <c r="X8" s="38"/>
      <c r="Y8" s="38"/>
      <c r="AA8" s="3" t="s">
        <v>4</v>
      </c>
      <c r="AC8" s="3" t="s">
        <v>4</v>
      </c>
    </row>
    <row r="9" spans="1:29">
      <c r="A9" s="18"/>
      <c r="D9" s="1"/>
      <c r="E9" s="10" t="s">
        <v>5</v>
      </c>
      <c r="F9" s="10"/>
      <c r="G9" s="10" t="s">
        <v>6</v>
      </c>
      <c r="H9" s="10"/>
      <c r="I9" s="2" t="s">
        <v>8</v>
      </c>
      <c r="K9" s="10" t="s">
        <v>5</v>
      </c>
      <c r="L9" s="10"/>
      <c r="M9" s="46" t="s">
        <v>9</v>
      </c>
      <c r="N9" s="46"/>
      <c r="O9" s="46"/>
      <c r="P9" s="2"/>
      <c r="Q9" s="2" t="s">
        <v>8</v>
      </c>
      <c r="S9" s="2" t="s">
        <v>10</v>
      </c>
      <c r="T9" s="2"/>
      <c r="U9" s="2"/>
      <c r="V9" s="2"/>
      <c r="W9" s="2"/>
      <c r="X9" s="2"/>
      <c r="Y9" s="2" t="s">
        <v>8</v>
      </c>
      <c r="AA9" s="3" t="s">
        <v>11</v>
      </c>
      <c r="AC9" s="3" t="s">
        <v>11</v>
      </c>
    </row>
    <row r="10" spans="1:29">
      <c r="A10" s="57" t="s">
        <v>282</v>
      </c>
      <c r="B10" s="10"/>
      <c r="C10" s="57" t="s">
        <v>12</v>
      </c>
      <c r="E10" s="57" t="s">
        <v>2</v>
      </c>
      <c r="F10" s="2"/>
      <c r="G10" s="57" t="s">
        <v>2</v>
      </c>
      <c r="H10" s="2"/>
      <c r="I10" s="57" t="s">
        <v>2</v>
      </c>
      <c r="J10" s="1"/>
      <c r="K10" s="57" t="s">
        <v>15</v>
      </c>
      <c r="L10" s="2"/>
      <c r="M10" s="57" t="s">
        <v>313</v>
      </c>
      <c r="N10" s="2"/>
      <c r="O10" s="57" t="s">
        <v>16</v>
      </c>
      <c r="P10" s="2"/>
      <c r="Q10" s="57" t="s">
        <v>15</v>
      </c>
      <c r="R10" s="1"/>
      <c r="S10" s="57" t="s">
        <v>17</v>
      </c>
      <c r="T10" s="2"/>
      <c r="U10" s="57" t="s">
        <v>18</v>
      </c>
      <c r="V10" s="2"/>
      <c r="W10" s="57" t="s">
        <v>19</v>
      </c>
      <c r="X10" s="2"/>
      <c r="Y10" s="57" t="s">
        <v>3</v>
      </c>
      <c r="AA10" s="47" t="s">
        <v>20</v>
      </c>
      <c r="AC10" s="47" t="s">
        <v>20</v>
      </c>
    </row>
    <row r="11" spans="1:29">
      <c r="A11" s="2"/>
      <c r="B11" s="10"/>
      <c r="C11" s="2"/>
      <c r="E11" s="2"/>
      <c r="F11" s="2"/>
      <c r="G11" s="2"/>
      <c r="H11" s="2"/>
      <c r="I11" s="2"/>
      <c r="J11" s="1"/>
      <c r="K11" s="2"/>
      <c r="L11" s="2"/>
      <c r="M11" s="2"/>
      <c r="N11" s="2"/>
      <c r="O11" s="2"/>
      <c r="P11" s="2"/>
      <c r="Q11" s="2"/>
      <c r="R11" s="1"/>
      <c r="S11" s="2"/>
      <c r="T11" s="2"/>
      <c r="U11" s="2"/>
      <c r="V11" s="2"/>
      <c r="W11" s="2"/>
      <c r="X11" s="2"/>
      <c r="Y11" s="2"/>
      <c r="AA11" s="1"/>
      <c r="AC11" s="1"/>
    </row>
    <row r="12" spans="1:29" ht="11.45" customHeight="1">
      <c r="A12" s="11" t="s">
        <v>255</v>
      </c>
      <c r="E12" s="2"/>
      <c r="F12" s="2"/>
      <c r="G12" s="2"/>
      <c r="H12" s="2"/>
      <c r="I12" s="2"/>
      <c r="J12" s="1"/>
      <c r="K12" s="2"/>
      <c r="L12" s="2"/>
      <c r="M12" s="2"/>
      <c r="N12" s="2"/>
      <c r="O12" s="2"/>
      <c r="P12" s="2"/>
      <c r="Q12" s="2"/>
      <c r="R12" s="1"/>
      <c r="S12" s="2"/>
      <c r="T12" s="2"/>
      <c r="U12" s="2"/>
      <c r="V12" s="2"/>
      <c r="W12" s="2"/>
      <c r="X12" s="2"/>
      <c r="Y12" s="2"/>
    </row>
    <row r="13" spans="1:29" ht="11.45" customHeight="1">
      <c r="A13" s="11"/>
      <c r="E13" s="2"/>
      <c r="F13" s="2"/>
      <c r="G13" s="2"/>
      <c r="H13" s="2"/>
      <c r="I13" s="2"/>
      <c r="J13" s="1"/>
      <c r="K13" s="2"/>
      <c r="L13" s="2"/>
      <c r="M13" s="2"/>
      <c r="N13" s="2"/>
      <c r="O13" s="2"/>
      <c r="P13" s="2"/>
      <c r="Q13" s="2"/>
      <c r="R13" s="1"/>
      <c r="S13" s="2"/>
      <c r="T13" s="2"/>
      <c r="U13" s="2"/>
      <c r="V13" s="2"/>
      <c r="W13" s="2"/>
      <c r="X13" s="2"/>
      <c r="Y13" s="2"/>
    </row>
    <row r="14" spans="1:29">
      <c r="A14" s="3" t="s">
        <v>288</v>
      </c>
      <c r="C14" s="3" t="s">
        <v>263</v>
      </c>
      <c r="E14" s="17">
        <f>+I14-G14</f>
        <v>11021633</v>
      </c>
      <c r="F14" s="17"/>
      <c r="G14" s="17">
        <f>369221+4402121</f>
        <v>4771342</v>
      </c>
      <c r="H14" s="17"/>
      <c r="I14" s="17">
        <v>15792975</v>
      </c>
      <c r="J14" s="17"/>
      <c r="K14" s="17">
        <f>+Q14-M14-O14</f>
        <v>4444994</v>
      </c>
      <c r="L14" s="17"/>
      <c r="M14" s="17">
        <v>176550</v>
      </c>
      <c r="N14" s="17"/>
      <c r="O14" s="17">
        <f>865490-176550</f>
        <v>688940</v>
      </c>
      <c r="P14" s="17"/>
      <c r="Q14" s="17">
        <v>5310484</v>
      </c>
      <c r="R14" s="17"/>
      <c r="S14" s="17">
        <v>4504676</v>
      </c>
      <c r="T14" s="17"/>
      <c r="U14" s="17">
        <f>Y14-W14-S14</f>
        <v>1696192</v>
      </c>
      <c r="V14" s="17"/>
      <c r="W14" s="17">
        <v>4281623</v>
      </c>
      <c r="X14" s="17"/>
      <c r="Y14" s="17">
        <v>10482491</v>
      </c>
      <c r="AA14" s="3">
        <f>+I14-Q14-Y14</f>
        <v>0</v>
      </c>
      <c r="AC14" s="3">
        <f>+E14+G14-K14-M14-S14-U14-W14-O14</f>
        <v>0</v>
      </c>
    </row>
    <row r="15" spans="1:29">
      <c r="A15" s="3" t="s">
        <v>241</v>
      </c>
      <c r="C15" s="3" t="s">
        <v>145</v>
      </c>
      <c r="E15" s="3">
        <f>+I15-G15</f>
        <v>9209044</v>
      </c>
      <c r="G15" s="3">
        <f>50000+5144991</f>
        <v>5194991</v>
      </c>
      <c r="I15" s="3">
        <v>14404035</v>
      </c>
      <c r="K15" s="3">
        <f>+Q15-M15-O15</f>
        <v>3061921</v>
      </c>
      <c r="M15" s="3">
        <v>90586</v>
      </c>
      <c r="O15" s="3">
        <f>1166133-90586</f>
        <v>1075547</v>
      </c>
      <c r="Q15" s="3">
        <v>4228054</v>
      </c>
      <c r="S15" s="3">
        <v>4404680</v>
      </c>
      <c r="U15" s="3">
        <f>Y15-W15-S15</f>
        <v>1123636</v>
      </c>
      <c r="W15" s="3">
        <v>4647665</v>
      </c>
      <c r="Y15" s="3">
        <v>10175981</v>
      </c>
      <c r="AA15" s="3">
        <f>+I15-Q15-Y15</f>
        <v>0</v>
      </c>
      <c r="AC15" s="3">
        <f>+E15+G15-K15-M15-S15-U15-W15-O15</f>
        <v>0</v>
      </c>
    </row>
    <row r="16" spans="1:29">
      <c r="A16" s="3" t="s">
        <v>356</v>
      </c>
      <c r="C16" s="3" t="s">
        <v>146</v>
      </c>
      <c r="E16" s="3">
        <f>+I16-G16</f>
        <v>15070988</v>
      </c>
      <c r="G16" s="3">
        <f>1970332+3359467</f>
        <v>5329799</v>
      </c>
      <c r="I16" s="3">
        <v>20400787</v>
      </c>
      <c r="K16" s="3">
        <f>+Q16-M16-O16</f>
        <v>3803066</v>
      </c>
      <c r="M16" s="3">
        <v>142874</v>
      </c>
      <c r="O16" s="3">
        <f>835849-142874</f>
        <v>692975</v>
      </c>
      <c r="Q16" s="3">
        <v>4638915</v>
      </c>
      <c r="S16" s="3">
        <v>5329799</v>
      </c>
      <c r="U16" s="3">
        <f>Y16-W16-S16</f>
        <v>4359692</v>
      </c>
      <c r="W16" s="3">
        <v>6072381</v>
      </c>
      <c r="Y16" s="3">
        <v>15761872</v>
      </c>
      <c r="AA16" s="3">
        <f t="shared" ref="AA16:AA64" si="0">+I16-Q16-Y16</f>
        <v>0</v>
      </c>
      <c r="AC16" s="3">
        <f t="shared" ref="AC16:AC64" si="1">+E16+G16-K16-M16-S16-U16-W16-O16</f>
        <v>0</v>
      </c>
    </row>
    <row r="17" spans="1:29">
      <c r="A17" s="3" t="s">
        <v>294</v>
      </c>
      <c r="C17" s="3" t="s">
        <v>148</v>
      </c>
      <c r="E17" s="3">
        <f t="shared" ref="E17:E87" si="2">+I17-G17</f>
        <v>13219293</v>
      </c>
      <c r="G17" s="3">
        <v>14657751</v>
      </c>
      <c r="I17" s="3">
        <v>27877044</v>
      </c>
      <c r="K17" s="3">
        <f t="shared" ref="K17:K87" si="3">+Q17-M17-O17</f>
        <v>5808470</v>
      </c>
      <c r="M17" s="3">
        <v>234897</v>
      </c>
      <c r="O17" s="3">
        <f>3379273-234897</f>
        <v>3144376</v>
      </c>
      <c r="Q17" s="3">
        <v>9187743</v>
      </c>
      <c r="S17" s="3">
        <v>12012751</v>
      </c>
      <c r="U17" s="3">
        <f t="shared" ref="U17:U87" si="4">Y17-W17-S17</f>
        <v>15184</v>
      </c>
      <c r="W17" s="3">
        <v>6661366</v>
      </c>
      <c r="Y17" s="3">
        <v>18689301</v>
      </c>
      <c r="AA17" s="3">
        <f t="shared" si="0"/>
        <v>0</v>
      </c>
      <c r="AC17" s="3">
        <f t="shared" si="1"/>
        <v>0</v>
      </c>
    </row>
    <row r="18" spans="1:29">
      <c r="A18" s="3" t="s">
        <v>295</v>
      </c>
      <c r="C18" s="3" t="s">
        <v>151</v>
      </c>
      <c r="E18" s="3">
        <f t="shared" si="2"/>
        <v>3173944</v>
      </c>
      <c r="G18" s="3">
        <f>1090229+888937</f>
        <v>1979166</v>
      </c>
      <c r="I18" s="3">
        <v>5153110</v>
      </c>
      <c r="K18" s="3">
        <f t="shared" si="3"/>
        <v>2085127</v>
      </c>
      <c r="M18" s="3">
        <v>95439</v>
      </c>
      <c r="O18" s="3">
        <v>1090329</v>
      </c>
      <c r="Q18" s="3">
        <v>3270895</v>
      </c>
      <c r="S18" s="3">
        <v>1745830</v>
      </c>
      <c r="U18" s="3">
        <f t="shared" si="4"/>
        <v>121037</v>
      </c>
      <c r="W18" s="3">
        <v>15348</v>
      </c>
      <c r="Y18" s="3">
        <v>1882215</v>
      </c>
      <c r="AA18" s="3">
        <f t="shared" si="0"/>
        <v>0</v>
      </c>
      <c r="AC18" s="3">
        <f t="shared" si="1"/>
        <v>0</v>
      </c>
    </row>
    <row r="19" spans="1:29">
      <c r="A19" s="3" t="s">
        <v>222</v>
      </c>
      <c r="C19" s="3" t="s">
        <v>200</v>
      </c>
      <c r="E19" s="3">
        <f t="shared" si="2"/>
        <v>25701300</v>
      </c>
      <c r="G19" s="3">
        <v>5032211</v>
      </c>
      <c r="I19" s="3">
        <v>30733511</v>
      </c>
      <c r="K19" s="3">
        <f t="shared" si="3"/>
        <v>5180480</v>
      </c>
      <c r="M19" s="3">
        <v>65114</v>
      </c>
      <c r="O19" s="3">
        <v>485064</v>
      </c>
      <c r="Q19" s="3">
        <v>5730658</v>
      </c>
      <c r="S19" s="3">
        <v>4892161</v>
      </c>
      <c r="U19" s="3">
        <f t="shared" si="4"/>
        <v>6071654</v>
      </c>
      <c r="W19" s="3">
        <v>14039038</v>
      </c>
      <c r="Y19" s="3">
        <v>25002853</v>
      </c>
      <c r="AA19" s="3">
        <f t="shared" si="0"/>
        <v>0</v>
      </c>
      <c r="AC19" s="3">
        <f t="shared" si="1"/>
        <v>0</v>
      </c>
    </row>
    <row r="20" spans="1:29">
      <c r="A20" s="3" t="s">
        <v>366</v>
      </c>
      <c r="C20" s="3" t="s">
        <v>149</v>
      </c>
      <c r="E20" s="3">
        <f t="shared" si="2"/>
        <v>33974236</v>
      </c>
      <c r="G20" s="3">
        <f>4810261+40671094</f>
        <v>45481355</v>
      </c>
      <c r="I20" s="3">
        <v>79455591</v>
      </c>
      <c r="K20" s="3">
        <f t="shared" si="3"/>
        <v>22547869</v>
      </c>
      <c r="M20" s="3">
        <v>267602</v>
      </c>
      <c r="O20" s="3">
        <v>1622447</v>
      </c>
      <c r="Q20" s="3">
        <v>24437918</v>
      </c>
      <c r="S20" s="3">
        <v>42618511</v>
      </c>
      <c r="U20" s="3">
        <f t="shared" si="4"/>
        <v>1224183</v>
      </c>
      <c r="W20" s="3">
        <v>11174979</v>
      </c>
      <c r="Y20" s="3">
        <v>55017673</v>
      </c>
      <c r="AA20" s="3">
        <f>+I20-Q20-Y20</f>
        <v>0</v>
      </c>
      <c r="AC20" s="3">
        <f>+E20+G20-K20-M20-S20-U20-W20-O20</f>
        <v>0</v>
      </c>
    </row>
    <row r="21" spans="1:29">
      <c r="A21" s="3" t="s">
        <v>278</v>
      </c>
      <c r="C21" s="3" t="s">
        <v>175</v>
      </c>
      <c r="E21" s="3">
        <f>+I21-G21</f>
        <v>17874264</v>
      </c>
      <c r="G21" s="3">
        <f>118536+36295644</f>
        <v>36414180</v>
      </c>
      <c r="I21" s="3">
        <v>54288444</v>
      </c>
      <c r="K21" s="3">
        <f>+Q21-M21-O21</f>
        <v>9227498</v>
      </c>
      <c r="M21" s="3">
        <v>1416779</v>
      </c>
      <c r="O21" s="3">
        <f>27069343-1416779</f>
        <v>25652564</v>
      </c>
      <c r="Q21" s="3">
        <v>36296841</v>
      </c>
      <c r="S21" s="3">
        <v>11196970</v>
      </c>
      <c r="U21" s="3">
        <f>Y21-W21-S21</f>
        <v>1554644</v>
      </c>
      <c r="W21" s="3">
        <v>5239989</v>
      </c>
      <c r="Y21" s="3">
        <v>17991603</v>
      </c>
      <c r="AA21" s="3">
        <f>+I21-Q21-Y21</f>
        <v>0</v>
      </c>
      <c r="AC21" s="3">
        <f>+E21+G21-K21-M21-S21-U21-W21-O21</f>
        <v>0</v>
      </c>
    </row>
    <row r="22" spans="1:29" hidden="1">
      <c r="A22" s="3" t="s">
        <v>276</v>
      </c>
      <c r="C22" s="3" t="s">
        <v>216</v>
      </c>
      <c r="E22" s="3">
        <f t="shared" si="2"/>
        <v>0</v>
      </c>
      <c r="G22" s="3">
        <v>0</v>
      </c>
      <c r="I22" s="3">
        <v>0</v>
      </c>
      <c r="K22" s="3">
        <f t="shared" si="3"/>
        <v>0</v>
      </c>
      <c r="M22" s="3">
        <v>0</v>
      </c>
      <c r="O22" s="3">
        <v>0</v>
      </c>
      <c r="Q22" s="3">
        <v>0</v>
      </c>
      <c r="S22" s="3">
        <v>0</v>
      </c>
      <c r="U22" s="3">
        <f t="shared" si="4"/>
        <v>0</v>
      </c>
      <c r="W22" s="3">
        <v>0</v>
      </c>
      <c r="Y22" s="3">
        <v>0</v>
      </c>
      <c r="AA22" s="3">
        <f t="shared" si="0"/>
        <v>0</v>
      </c>
      <c r="AC22" s="3">
        <f t="shared" si="1"/>
        <v>0</v>
      </c>
    </row>
    <row r="23" spans="1:29">
      <c r="A23" s="3" t="s">
        <v>365</v>
      </c>
      <c r="C23" s="3" t="s">
        <v>158</v>
      </c>
      <c r="E23" s="3">
        <f t="shared" si="2"/>
        <v>8757925</v>
      </c>
      <c r="G23" s="3">
        <v>9210219</v>
      </c>
      <c r="I23" s="3">
        <v>17968144</v>
      </c>
      <c r="K23" s="3">
        <f t="shared" si="3"/>
        <v>2206722</v>
      </c>
      <c r="M23" s="3">
        <v>45857</v>
      </c>
      <c r="O23" s="3">
        <f>222084-45857</f>
        <v>176227</v>
      </c>
      <c r="Q23" s="3">
        <v>2428806</v>
      </c>
      <c r="S23" s="3">
        <v>9210219</v>
      </c>
      <c r="U23" s="3">
        <f t="shared" si="4"/>
        <v>3070071</v>
      </c>
      <c r="W23" s="3">
        <v>3259048</v>
      </c>
      <c r="Y23" s="3">
        <v>15539338</v>
      </c>
      <c r="AA23" s="3">
        <f>+I23-Q23-Y23</f>
        <v>0</v>
      </c>
      <c r="AC23" s="3">
        <f t="shared" si="1"/>
        <v>0</v>
      </c>
    </row>
    <row r="24" spans="1:29" ht="12.75" customHeight="1">
      <c r="A24" s="3" t="s">
        <v>245</v>
      </c>
      <c r="C24" s="3" t="s">
        <v>209</v>
      </c>
      <c r="E24" s="3">
        <f t="shared" si="2"/>
        <v>2876091</v>
      </c>
      <c r="G24" s="3">
        <f>28429+885928</f>
        <v>914357</v>
      </c>
      <c r="I24" s="3">
        <v>3790448</v>
      </c>
      <c r="K24" s="3">
        <f t="shared" si="3"/>
        <v>1688174</v>
      </c>
      <c r="M24" s="3">
        <v>90118</v>
      </c>
      <c r="O24" s="3">
        <f>657084-90118</f>
        <v>566966</v>
      </c>
      <c r="Q24" s="3">
        <v>2345258</v>
      </c>
      <c r="S24" s="3">
        <v>845079</v>
      </c>
      <c r="U24" s="3">
        <f t="shared" si="4"/>
        <v>84346</v>
      </c>
      <c r="W24" s="3">
        <v>515765</v>
      </c>
      <c r="Y24" s="3">
        <v>1445190</v>
      </c>
      <c r="AA24" s="3">
        <f t="shared" si="0"/>
        <v>0</v>
      </c>
      <c r="AC24" s="3">
        <f t="shared" si="1"/>
        <v>0</v>
      </c>
    </row>
    <row r="25" spans="1:29">
      <c r="A25" s="3" t="s">
        <v>243</v>
      </c>
      <c r="C25" s="3" t="s">
        <v>159</v>
      </c>
      <c r="E25" s="3">
        <f t="shared" si="2"/>
        <v>24155951</v>
      </c>
      <c r="G25" s="3">
        <v>17140023</v>
      </c>
      <c r="I25" s="3">
        <v>41295974</v>
      </c>
      <c r="K25" s="3">
        <f t="shared" si="3"/>
        <v>9936468</v>
      </c>
      <c r="M25" s="3">
        <v>253410</v>
      </c>
      <c r="O25" s="3">
        <f>2239812-253410</f>
        <v>1986402</v>
      </c>
      <c r="Q25" s="3">
        <v>12176280</v>
      </c>
      <c r="S25" s="3">
        <v>16922712</v>
      </c>
      <c r="U25" s="3">
        <f t="shared" si="4"/>
        <v>13044</v>
      </c>
      <c r="W25" s="3">
        <v>12183938</v>
      </c>
      <c r="Y25" s="3">
        <v>29119694</v>
      </c>
      <c r="AA25" s="3">
        <f t="shared" si="0"/>
        <v>0</v>
      </c>
      <c r="AC25" s="3">
        <f t="shared" si="1"/>
        <v>0</v>
      </c>
    </row>
    <row r="26" spans="1:29">
      <c r="A26" s="3" t="s">
        <v>242</v>
      </c>
      <c r="C26" s="3" t="s">
        <v>161</v>
      </c>
      <c r="E26" s="3">
        <f t="shared" si="2"/>
        <v>37897334</v>
      </c>
      <c r="G26" s="3">
        <v>14240210</v>
      </c>
      <c r="I26" s="3">
        <v>52137544</v>
      </c>
      <c r="K26" s="3">
        <f t="shared" si="3"/>
        <v>10009582</v>
      </c>
      <c r="M26" s="3">
        <v>237450</v>
      </c>
      <c r="O26" s="3">
        <f>1460118-237450</f>
        <v>1222668</v>
      </c>
      <c r="Q26" s="3">
        <v>11469700</v>
      </c>
      <c r="S26" s="3">
        <v>14099302</v>
      </c>
      <c r="U26" s="3">
        <f t="shared" si="4"/>
        <v>5455080</v>
      </c>
      <c r="W26" s="3">
        <v>21113462</v>
      </c>
      <c r="Y26" s="3">
        <v>40667844</v>
      </c>
      <c r="AA26" s="3">
        <f t="shared" si="0"/>
        <v>0</v>
      </c>
      <c r="AC26" s="3">
        <f t="shared" si="1"/>
        <v>0</v>
      </c>
    </row>
    <row r="27" spans="1:29">
      <c r="A27" s="3" t="s">
        <v>367</v>
      </c>
      <c r="C27" s="3" t="s">
        <v>164</v>
      </c>
      <c r="E27" s="3">
        <f t="shared" si="2"/>
        <v>33728469</v>
      </c>
      <c r="G27" s="3">
        <f>2714510+21500459</f>
        <v>24214969</v>
      </c>
      <c r="I27" s="3">
        <v>57943438</v>
      </c>
      <c r="K27" s="3">
        <f t="shared" si="3"/>
        <v>11930988</v>
      </c>
      <c r="M27" s="3">
        <v>1188385</v>
      </c>
      <c r="O27" s="3">
        <f>4963738-1188385</f>
        <v>3775353</v>
      </c>
      <c r="Q27" s="3">
        <v>16894726</v>
      </c>
      <c r="S27" s="3">
        <v>20535376</v>
      </c>
      <c r="U27" s="3">
        <f t="shared" si="4"/>
        <v>2665039</v>
      </c>
      <c r="W27" s="3">
        <v>17848297</v>
      </c>
      <c r="Y27" s="3">
        <v>41048712</v>
      </c>
      <c r="AA27" s="3">
        <f>+I27-Q27-Y27</f>
        <v>0</v>
      </c>
      <c r="AC27" s="3">
        <f t="shared" si="1"/>
        <v>0</v>
      </c>
    </row>
    <row r="28" spans="1:29">
      <c r="A28" s="3" t="s">
        <v>244</v>
      </c>
      <c r="C28" s="3" t="s">
        <v>162</v>
      </c>
      <c r="E28" s="3">
        <f t="shared" si="2"/>
        <v>13787118</v>
      </c>
      <c r="G28" s="3">
        <v>1395090</v>
      </c>
      <c r="I28" s="3">
        <v>15182208</v>
      </c>
      <c r="K28" s="3">
        <f t="shared" si="3"/>
        <v>7565594</v>
      </c>
      <c r="M28" s="3">
        <v>300071</v>
      </c>
      <c r="O28" s="3">
        <f>3731188-300071</f>
        <v>3431117</v>
      </c>
      <c r="Q28" s="3">
        <v>11296782</v>
      </c>
      <c r="S28" s="3">
        <v>149090</v>
      </c>
      <c r="U28" s="3">
        <f t="shared" si="4"/>
        <v>78857</v>
      </c>
      <c r="W28" s="3">
        <v>3657479</v>
      </c>
      <c r="Y28" s="3">
        <v>3885426</v>
      </c>
      <c r="AA28" s="3">
        <f t="shared" si="0"/>
        <v>0</v>
      </c>
      <c r="AC28" s="3">
        <f t="shared" si="1"/>
        <v>0</v>
      </c>
    </row>
    <row r="29" spans="1:29">
      <c r="A29" s="3" t="s">
        <v>246</v>
      </c>
      <c r="C29" s="3" t="s">
        <v>211</v>
      </c>
      <c r="E29" s="3">
        <f t="shared" si="2"/>
        <v>17915147</v>
      </c>
      <c r="G29" s="3">
        <f>219258+8418891</f>
        <v>8638149</v>
      </c>
      <c r="I29" s="3">
        <v>26553296</v>
      </c>
      <c r="K29" s="3">
        <f t="shared" si="3"/>
        <v>7551958</v>
      </c>
      <c r="M29" s="3">
        <v>19616</v>
      </c>
      <c r="O29" s="3">
        <f>2254325-19616</f>
        <v>2234709</v>
      </c>
      <c r="Q29" s="3">
        <v>9806283</v>
      </c>
      <c r="S29" s="3">
        <v>7518533</v>
      </c>
      <c r="U29" s="3">
        <f t="shared" si="4"/>
        <v>4182702</v>
      </c>
      <c r="W29" s="3">
        <v>5045778</v>
      </c>
      <c r="Y29" s="3">
        <v>16747013</v>
      </c>
      <c r="AA29" s="3">
        <f t="shared" si="0"/>
        <v>0</v>
      </c>
      <c r="AC29" s="3">
        <f t="shared" si="1"/>
        <v>0</v>
      </c>
    </row>
    <row r="30" spans="1:29" ht="13.5" customHeight="1">
      <c r="A30" s="3" t="s">
        <v>210</v>
      </c>
      <c r="C30" s="3" t="s">
        <v>167</v>
      </c>
      <c r="E30" s="3">
        <f t="shared" si="2"/>
        <v>9711503</v>
      </c>
      <c r="G30" s="3">
        <f>110702+19984610</f>
        <v>20095312</v>
      </c>
      <c r="I30" s="3">
        <v>29806815</v>
      </c>
      <c r="K30" s="3">
        <f t="shared" si="3"/>
        <v>3307676</v>
      </c>
      <c r="M30" s="3">
        <v>252391</v>
      </c>
      <c r="O30" s="3">
        <f>2804796-252391</f>
        <v>2552405</v>
      </c>
      <c r="Q30" s="3">
        <v>6112472</v>
      </c>
      <c r="S30" s="3">
        <v>17851312</v>
      </c>
      <c r="U30" s="3">
        <f t="shared" si="4"/>
        <v>4755424</v>
      </c>
      <c r="W30" s="3">
        <v>1087607</v>
      </c>
      <c r="Y30" s="3">
        <v>23694343</v>
      </c>
      <c r="AA30" s="3">
        <f t="shared" si="0"/>
        <v>0</v>
      </c>
      <c r="AC30" s="3">
        <f t="shared" si="1"/>
        <v>0</v>
      </c>
    </row>
    <row r="31" spans="1:29">
      <c r="A31" s="3" t="s">
        <v>368</v>
      </c>
      <c r="C31" s="3" t="s">
        <v>170</v>
      </c>
      <c r="E31" s="3">
        <f t="shared" si="2"/>
        <v>71817992</v>
      </c>
      <c r="G31" s="3">
        <f>3256080+104878273</f>
        <v>108134353</v>
      </c>
      <c r="I31" s="3">
        <v>179952345</v>
      </c>
      <c r="K31" s="3">
        <f t="shared" si="3"/>
        <v>29215245</v>
      </c>
      <c r="M31" s="3">
        <v>1862756</v>
      </c>
      <c r="O31" s="3">
        <f>21795880-1862756</f>
        <v>19933124</v>
      </c>
      <c r="Q31" s="3">
        <v>51011125</v>
      </c>
      <c r="S31" s="3">
        <v>90396415</v>
      </c>
      <c r="U31" s="3">
        <f t="shared" si="4"/>
        <v>287911</v>
      </c>
      <c r="W31" s="3">
        <v>38256894</v>
      </c>
      <c r="Y31" s="3">
        <v>128941220</v>
      </c>
      <c r="AA31" s="3">
        <f t="shared" si="0"/>
        <v>0</v>
      </c>
      <c r="AC31" s="3">
        <f t="shared" si="1"/>
        <v>0</v>
      </c>
    </row>
    <row r="32" spans="1:29">
      <c r="A32" s="3" t="s">
        <v>321</v>
      </c>
      <c r="C32" s="3" t="s">
        <v>169</v>
      </c>
      <c r="E32" s="3">
        <f t="shared" si="2"/>
        <v>16231292</v>
      </c>
      <c r="G32" s="3">
        <f>491011+14134166</f>
        <v>14625177</v>
      </c>
      <c r="I32" s="3">
        <v>30856469</v>
      </c>
      <c r="K32" s="3">
        <f t="shared" si="3"/>
        <v>9846937</v>
      </c>
      <c r="M32" s="3">
        <v>136047</v>
      </c>
      <c r="O32" s="3">
        <f>625390-136047</f>
        <v>489343</v>
      </c>
      <c r="Q32" s="3">
        <v>10472327</v>
      </c>
      <c r="S32" s="3">
        <v>14508508</v>
      </c>
      <c r="U32" s="3">
        <f t="shared" si="4"/>
        <v>2136806</v>
      </c>
      <c r="W32" s="3">
        <v>3738828</v>
      </c>
      <c r="Y32" s="3">
        <v>20384142</v>
      </c>
      <c r="AA32" s="3">
        <f t="shared" si="0"/>
        <v>0</v>
      </c>
      <c r="AC32" s="3">
        <f t="shared" si="1"/>
        <v>0</v>
      </c>
    </row>
    <row r="33" spans="1:29">
      <c r="A33" s="3" t="s">
        <v>212</v>
      </c>
      <c r="C33" s="3" t="s">
        <v>172</v>
      </c>
      <c r="E33" s="3">
        <f t="shared" si="2"/>
        <v>3567856</v>
      </c>
      <c r="G33" s="3">
        <f>88229+2688585</f>
        <v>2776814</v>
      </c>
      <c r="I33" s="3">
        <v>6344670</v>
      </c>
      <c r="K33" s="3">
        <f t="shared" si="3"/>
        <v>1972195</v>
      </c>
      <c r="M33" s="3">
        <v>84030</v>
      </c>
      <c r="O33" s="3">
        <f>1247959-84030</f>
        <v>1163929</v>
      </c>
      <c r="Q33" s="3">
        <v>3220154</v>
      </c>
      <c r="S33" s="3">
        <v>1850851</v>
      </c>
      <c r="U33" s="3">
        <f t="shared" si="4"/>
        <v>219872</v>
      </c>
      <c r="W33" s="3">
        <v>1053793</v>
      </c>
      <c r="Y33" s="3">
        <v>3124516</v>
      </c>
      <c r="AA33" s="3">
        <f t="shared" si="0"/>
        <v>0</v>
      </c>
      <c r="AC33" s="3">
        <f t="shared" si="1"/>
        <v>0</v>
      </c>
    </row>
    <row r="34" spans="1:29">
      <c r="A34" s="3" t="s">
        <v>247</v>
      </c>
      <c r="C34" s="3" t="s">
        <v>173</v>
      </c>
      <c r="E34" s="3">
        <f t="shared" si="2"/>
        <v>15365622</v>
      </c>
      <c r="G34" s="3">
        <f>340564+21305920</f>
        <v>21646484</v>
      </c>
      <c r="I34" s="3">
        <v>37012106</v>
      </c>
      <c r="K34" s="3">
        <f t="shared" si="3"/>
        <v>2743329</v>
      </c>
      <c r="M34" s="3">
        <v>319211</v>
      </c>
      <c r="O34" s="3">
        <f>4640939-319211</f>
        <v>4321728</v>
      </c>
      <c r="Q34" s="3">
        <v>7384268</v>
      </c>
      <c r="S34" s="3">
        <v>17614237</v>
      </c>
      <c r="U34" s="3">
        <f t="shared" si="4"/>
        <v>1080230</v>
      </c>
      <c r="W34" s="3">
        <v>10933371</v>
      </c>
      <c r="Y34" s="3">
        <v>29627838</v>
      </c>
      <c r="AA34" s="3">
        <f t="shared" si="0"/>
        <v>0</v>
      </c>
      <c r="AC34" s="3">
        <f t="shared" si="1"/>
        <v>0</v>
      </c>
    </row>
    <row r="35" spans="1:29">
      <c r="A35" s="3" t="s">
        <v>213</v>
      </c>
      <c r="C35" s="3" t="s">
        <v>174</v>
      </c>
      <c r="E35" s="3">
        <f t="shared" si="2"/>
        <v>27302261</v>
      </c>
      <c r="G35" s="3">
        <f>2593947+1971835</f>
        <v>4565782</v>
      </c>
      <c r="I35" s="3">
        <v>31868043</v>
      </c>
      <c r="K35" s="3">
        <f t="shared" si="3"/>
        <v>3269953</v>
      </c>
      <c r="M35" s="3">
        <v>427625</v>
      </c>
      <c r="O35" s="3">
        <f>7078380-427625</f>
        <v>6650755</v>
      </c>
      <c r="Q35" s="3">
        <v>10348333</v>
      </c>
      <c r="S35" s="3">
        <v>3919803</v>
      </c>
      <c r="U35" s="3">
        <f t="shared" si="4"/>
        <v>16043431</v>
      </c>
      <c r="W35" s="3">
        <v>1556476</v>
      </c>
      <c r="Y35" s="3">
        <v>21519710</v>
      </c>
      <c r="AA35" s="3">
        <f t="shared" si="0"/>
        <v>0</v>
      </c>
      <c r="AC35" s="3">
        <f t="shared" si="1"/>
        <v>0</v>
      </c>
    </row>
    <row r="36" spans="1:29" hidden="1">
      <c r="A36" s="3" t="s">
        <v>289</v>
      </c>
      <c r="C36" s="3" t="s">
        <v>175</v>
      </c>
      <c r="E36" s="3">
        <f t="shared" si="2"/>
        <v>0</v>
      </c>
      <c r="G36" s="3">
        <v>0</v>
      </c>
      <c r="I36" s="3">
        <v>0</v>
      </c>
      <c r="K36" s="3">
        <f t="shared" si="3"/>
        <v>0</v>
      </c>
      <c r="M36" s="3">
        <v>0</v>
      </c>
      <c r="O36" s="3">
        <v>0</v>
      </c>
      <c r="Q36" s="3">
        <v>0</v>
      </c>
      <c r="S36" s="3">
        <v>0</v>
      </c>
      <c r="U36" s="3">
        <f t="shared" si="4"/>
        <v>0</v>
      </c>
      <c r="W36" s="3">
        <v>0</v>
      </c>
      <c r="Y36" s="3">
        <v>0</v>
      </c>
      <c r="AA36" s="3">
        <f t="shared" si="0"/>
        <v>0</v>
      </c>
      <c r="AC36" s="3">
        <f t="shared" si="1"/>
        <v>0</v>
      </c>
    </row>
    <row r="37" spans="1:29">
      <c r="A37" s="3" t="s">
        <v>215</v>
      </c>
      <c r="C37" s="3" t="s">
        <v>144</v>
      </c>
      <c r="E37" s="3">
        <f t="shared" si="2"/>
        <v>19512015</v>
      </c>
      <c r="G37" s="3">
        <f>138000+11692088</f>
        <v>11830088</v>
      </c>
      <c r="I37" s="3">
        <v>31342103</v>
      </c>
      <c r="K37" s="3">
        <f t="shared" si="3"/>
        <v>10399734</v>
      </c>
      <c r="M37" s="3">
        <v>384999</v>
      </c>
      <c r="O37" s="3">
        <f>3491730-384999</f>
        <v>3106731</v>
      </c>
      <c r="Q37" s="3">
        <v>13891464</v>
      </c>
      <c r="S37" s="3">
        <v>11830088</v>
      </c>
      <c r="U37" s="3">
        <f t="shared" si="4"/>
        <v>3685891</v>
      </c>
      <c r="W37" s="3">
        <v>1934660</v>
      </c>
      <c r="Y37" s="3">
        <v>17450639</v>
      </c>
      <c r="AA37" s="3">
        <f t="shared" si="0"/>
        <v>0</v>
      </c>
      <c r="AC37" s="3">
        <f t="shared" si="1"/>
        <v>0</v>
      </c>
    </row>
    <row r="38" spans="1:29">
      <c r="A38" s="3" t="s">
        <v>369</v>
      </c>
      <c r="C38" s="3" t="s">
        <v>178</v>
      </c>
      <c r="E38" s="3">
        <f t="shared" si="2"/>
        <v>29395888</v>
      </c>
      <c r="G38" s="3">
        <f>125000+27082012</f>
        <v>27207012</v>
      </c>
      <c r="I38" s="3">
        <v>56602900</v>
      </c>
      <c r="K38" s="3">
        <f t="shared" si="3"/>
        <v>7277087</v>
      </c>
      <c r="M38" s="3">
        <v>429034</v>
      </c>
      <c r="O38" s="3">
        <v>14767597</v>
      </c>
      <c r="Q38" s="3">
        <v>22473718</v>
      </c>
      <c r="S38" s="3">
        <v>13304974</v>
      </c>
      <c r="U38" s="3">
        <f t="shared" si="4"/>
        <v>13913852</v>
      </c>
      <c r="W38" s="3">
        <v>6910356</v>
      </c>
      <c r="Y38" s="3">
        <v>34129182</v>
      </c>
      <c r="AA38" s="3">
        <f>+I38-Q38-Y38</f>
        <v>0</v>
      </c>
      <c r="AC38" s="3">
        <f t="shared" si="1"/>
        <v>0</v>
      </c>
    </row>
    <row r="39" spans="1:29">
      <c r="A39" s="3" t="s">
        <v>248</v>
      </c>
      <c r="C39" s="3" t="s">
        <v>188</v>
      </c>
      <c r="E39" s="3">
        <f t="shared" si="2"/>
        <v>27629000</v>
      </c>
      <c r="G39" s="3">
        <f>140600+12846697</f>
        <v>12987297</v>
      </c>
      <c r="I39" s="3">
        <v>40616297</v>
      </c>
      <c r="K39" s="3">
        <f t="shared" si="3"/>
        <v>6719713</v>
      </c>
      <c r="M39" s="3">
        <v>79154</v>
      </c>
      <c r="O39" s="3">
        <v>1111713</v>
      </c>
      <c r="Q39" s="3">
        <v>7910580</v>
      </c>
      <c r="S39" s="3">
        <v>12987297</v>
      </c>
      <c r="U39" s="3">
        <f t="shared" si="4"/>
        <v>26379</v>
      </c>
      <c r="W39" s="3">
        <v>19692041</v>
      </c>
      <c r="Y39" s="3">
        <v>32705717</v>
      </c>
      <c r="AA39" s="3">
        <f>+I39-Q39-Y39</f>
        <v>0</v>
      </c>
      <c r="AC39" s="3">
        <f t="shared" si="1"/>
        <v>0</v>
      </c>
    </row>
    <row r="40" spans="1:29">
      <c r="A40" s="3" t="s">
        <v>219</v>
      </c>
      <c r="C40" s="3" t="s">
        <v>180</v>
      </c>
      <c r="E40" s="3">
        <f t="shared" si="2"/>
        <v>17722830</v>
      </c>
      <c r="G40" s="3">
        <f>2629034+6788685</f>
        <v>9417719</v>
      </c>
      <c r="I40" s="3">
        <v>27140549</v>
      </c>
      <c r="K40" s="3">
        <f t="shared" si="3"/>
        <v>8526177</v>
      </c>
      <c r="M40" s="3">
        <v>243350</v>
      </c>
      <c r="O40" s="3">
        <v>1567623</v>
      </c>
      <c r="Q40" s="3">
        <v>10337150</v>
      </c>
      <c r="S40" s="3">
        <v>9417719</v>
      </c>
      <c r="U40" s="3">
        <f t="shared" si="4"/>
        <v>428210</v>
      </c>
      <c r="W40" s="3">
        <v>6957470</v>
      </c>
      <c r="Y40" s="3">
        <v>16803399</v>
      </c>
      <c r="AA40" s="3">
        <f>+I40-Q40-Y40</f>
        <v>0</v>
      </c>
      <c r="AC40" s="3">
        <f>+E40+G40-K40-M40-S40-U40-W40-O40</f>
        <v>0</v>
      </c>
    </row>
    <row r="41" spans="1:29">
      <c r="A41" s="3" t="s">
        <v>370</v>
      </c>
      <c r="C41" s="3" t="s">
        <v>183</v>
      </c>
      <c r="E41" s="3">
        <f t="shared" si="2"/>
        <v>20148025</v>
      </c>
      <c r="G41" s="3">
        <f>440000+22271450</f>
        <v>22711450</v>
      </c>
      <c r="I41" s="3">
        <v>42859475</v>
      </c>
      <c r="K41" s="3">
        <f t="shared" si="3"/>
        <v>14628771</v>
      </c>
      <c r="M41" s="3">
        <v>619179</v>
      </c>
      <c r="O41" s="3">
        <v>9491734</v>
      </c>
      <c r="Q41" s="3">
        <v>24739684</v>
      </c>
      <c r="S41" s="3">
        <v>16006105</v>
      </c>
      <c r="U41" s="3">
        <f t="shared" si="4"/>
        <v>1182264</v>
      </c>
      <c r="W41" s="3">
        <v>931422</v>
      </c>
      <c r="Y41" s="3">
        <v>18119791</v>
      </c>
      <c r="AA41" s="3">
        <f t="shared" si="0"/>
        <v>0</v>
      </c>
      <c r="AC41" s="3">
        <f>+E41+G41-K41-M41-S41-U41-W41-O41</f>
        <v>0</v>
      </c>
    </row>
    <row r="42" spans="1:29">
      <c r="A42" s="3" t="s">
        <v>371</v>
      </c>
      <c r="C42" s="3" t="s">
        <v>185</v>
      </c>
      <c r="E42" s="3">
        <f t="shared" si="2"/>
        <v>75009834</v>
      </c>
      <c r="G42" s="3">
        <f>13104740+4303064</f>
        <v>17407804</v>
      </c>
      <c r="I42" s="3">
        <v>92417638</v>
      </c>
      <c r="K42" s="3">
        <f t="shared" si="3"/>
        <v>15119568</v>
      </c>
      <c r="M42" s="3">
        <v>2020001</v>
      </c>
      <c r="O42" s="3">
        <v>16294896</v>
      </c>
      <c r="Q42" s="3">
        <v>33434465</v>
      </c>
      <c r="S42" s="3">
        <v>12861719</v>
      </c>
      <c r="U42" s="3">
        <f t="shared" si="4"/>
        <v>31166783</v>
      </c>
      <c r="W42" s="3">
        <v>14954671</v>
      </c>
      <c r="Y42" s="3">
        <v>58983173</v>
      </c>
      <c r="AA42" s="3">
        <f t="shared" si="0"/>
        <v>0</v>
      </c>
      <c r="AC42" s="3">
        <f t="shared" si="1"/>
        <v>0</v>
      </c>
    </row>
    <row r="43" spans="1:29">
      <c r="A43" s="3" t="s">
        <v>214</v>
      </c>
      <c r="C43" s="3" t="s">
        <v>176</v>
      </c>
      <c r="E43" s="3">
        <f t="shared" si="2"/>
        <v>14830269</v>
      </c>
      <c r="G43" s="3">
        <f>542393+6093891</f>
        <v>6636284</v>
      </c>
      <c r="I43" s="3">
        <v>21466553</v>
      </c>
      <c r="K43" s="3">
        <f t="shared" si="3"/>
        <v>5909031</v>
      </c>
      <c r="M43" s="3">
        <v>236398</v>
      </c>
      <c r="O43" s="3">
        <v>1415538</v>
      </c>
      <c r="Q43" s="3">
        <v>7560967</v>
      </c>
      <c r="S43" s="3">
        <v>5867680</v>
      </c>
      <c r="U43" s="3">
        <f t="shared" si="4"/>
        <v>449339</v>
      </c>
      <c r="W43" s="3">
        <v>7588567</v>
      </c>
      <c r="Y43" s="3">
        <v>13905586</v>
      </c>
      <c r="AA43" s="3">
        <f t="shared" si="0"/>
        <v>0</v>
      </c>
      <c r="AC43" s="3">
        <f t="shared" si="1"/>
        <v>0</v>
      </c>
    </row>
    <row r="44" spans="1:29">
      <c r="A44" s="3" t="s">
        <v>328</v>
      </c>
      <c r="C44" s="3" t="s">
        <v>206</v>
      </c>
      <c r="E44" s="3">
        <f t="shared" si="2"/>
        <v>30190497</v>
      </c>
      <c r="G44" s="3">
        <v>87272746</v>
      </c>
      <c r="I44" s="3">
        <v>117463243</v>
      </c>
      <c r="K44" s="3">
        <f t="shared" si="3"/>
        <v>17085159</v>
      </c>
      <c r="M44" s="3">
        <v>2574401</v>
      </c>
      <c r="O44" s="3">
        <f>45267282-2574401</f>
        <v>42692881</v>
      </c>
      <c r="Q44" s="3">
        <v>62352441</v>
      </c>
      <c r="S44" s="3">
        <v>45386332</v>
      </c>
      <c r="U44" s="3">
        <f t="shared" si="4"/>
        <v>4935708</v>
      </c>
      <c r="W44" s="3">
        <v>4788762</v>
      </c>
      <c r="Y44" s="3">
        <v>55110802</v>
      </c>
      <c r="AA44" s="3">
        <f t="shared" si="0"/>
        <v>0</v>
      </c>
      <c r="AC44" s="3">
        <f t="shared" si="1"/>
        <v>0</v>
      </c>
    </row>
    <row r="45" spans="1:29">
      <c r="A45" s="3" t="s">
        <v>372</v>
      </c>
      <c r="C45" s="3" t="s">
        <v>192</v>
      </c>
      <c r="E45" s="3">
        <f t="shared" si="2"/>
        <v>17097186</v>
      </c>
      <c r="G45" s="3">
        <f>186368+19950547</f>
        <v>20136915</v>
      </c>
      <c r="I45" s="3">
        <v>37234101</v>
      </c>
      <c r="K45" s="3">
        <f t="shared" si="3"/>
        <v>6048921</v>
      </c>
      <c r="M45" s="3">
        <v>729977</v>
      </c>
      <c r="O45" s="3">
        <f>4415534-729977</f>
        <v>3685557</v>
      </c>
      <c r="Q45" s="3">
        <v>10464455</v>
      </c>
      <c r="S45" s="3">
        <v>17124858</v>
      </c>
      <c r="U45" s="3">
        <f t="shared" si="4"/>
        <v>3200529</v>
      </c>
      <c r="W45" s="3">
        <v>6444259</v>
      </c>
      <c r="Y45" s="3">
        <v>26769646</v>
      </c>
      <c r="AA45" s="3">
        <f t="shared" si="0"/>
        <v>0</v>
      </c>
      <c r="AC45" s="3">
        <f t="shared" si="1"/>
        <v>0</v>
      </c>
    </row>
    <row r="46" spans="1:29">
      <c r="A46" s="3" t="s">
        <v>249</v>
      </c>
      <c r="C46" s="3" t="s">
        <v>220</v>
      </c>
      <c r="E46" s="3">
        <f t="shared" si="2"/>
        <v>6424201</v>
      </c>
      <c r="G46" s="3">
        <f>152681+17784030</f>
        <v>17936711</v>
      </c>
      <c r="I46" s="3">
        <v>24360912</v>
      </c>
      <c r="K46" s="3">
        <f t="shared" si="3"/>
        <v>1591174</v>
      </c>
      <c r="M46" s="3">
        <v>207579</v>
      </c>
      <c r="O46" s="3">
        <f>3514626-207579</f>
        <v>3307047</v>
      </c>
      <c r="Q46" s="3">
        <v>5105800</v>
      </c>
      <c r="S46" s="3">
        <v>14822821</v>
      </c>
      <c r="U46" s="3">
        <f t="shared" si="4"/>
        <v>1112749</v>
      </c>
      <c r="W46" s="3">
        <v>3319542</v>
      </c>
      <c r="Y46" s="3">
        <v>19255112</v>
      </c>
      <c r="AA46" s="3">
        <f t="shared" si="0"/>
        <v>0</v>
      </c>
      <c r="AC46" s="3">
        <f t="shared" si="1"/>
        <v>0</v>
      </c>
    </row>
    <row r="47" spans="1:29">
      <c r="A47" s="3" t="s">
        <v>373</v>
      </c>
      <c r="C47" s="3" t="s">
        <v>191</v>
      </c>
      <c r="E47" s="3">
        <f t="shared" si="2"/>
        <v>24115051</v>
      </c>
      <c r="G47" s="3">
        <v>33410088</v>
      </c>
      <c r="I47" s="3">
        <v>57525139</v>
      </c>
      <c r="K47" s="3">
        <f t="shared" si="3"/>
        <v>5057059</v>
      </c>
      <c r="M47" s="3">
        <v>649814</v>
      </c>
      <c r="O47" s="3">
        <f>12801306-649814</f>
        <v>12151492</v>
      </c>
      <c r="Q47" s="3">
        <v>17858365</v>
      </c>
      <c r="S47" s="3">
        <v>22142254</v>
      </c>
      <c r="U47" s="3">
        <f t="shared" si="4"/>
        <v>4607662</v>
      </c>
      <c r="W47" s="3">
        <v>12916858</v>
      </c>
      <c r="Y47" s="3">
        <v>39666774</v>
      </c>
      <c r="AA47" s="3">
        <f t="shared" si="0"/>
        <v>0</v>
      </c>
      <c r="AC47" s="3">
        <f t="shared" si="1"/>
        <v>0</v>
      </c>
    </row>
    <row r="48" spans="1:29">
      <c r="A48" s="3" t="s">
        <v>250</v>
      </c>
      <c r="C48" s="3" t="s">
        <v>159</v>
      </c>
      <c r="E48" s="3">
        <f t="shared" si="2"/>
        <v>19776804</v>
      </c>
      <c r="G48" s="3">
        <f>261490+6669739</f>
        <v>6931229</v>
      </c>
      <c r="I48" s="3">
        <v>26708033</v>
      </c>
      <c r="K48" s="3">
        <f t="shared" si="3"/>
        <v>9154522</v>
      </c>
      <c r="M48" s="3">
        <v>1195369</v>
      </c>
      <c r="O48" s="3">
        <f>4702948-1195369</f>
        <v>3507579</v>
      </c>
      <c r="Q48" s="3">
        <v>13857470</v>
      </c>
      <c r="S48" s="3">
        <v>3683605</v>
      </c>
      <c r="U48" s="3">
        <f t="shared" si="4"/>
        <v>397049</v>
      </c>
      <c r="W48" s="3">
        <v>8769909</v>
      </c>
      <c r="Y48" s="3">
        <v>12850563</v>
      </c>
      <c r="AA48" s="3">
        <f t="shared" si="0"/>
        <v>0</v>
      </c>
      <c r="AC48" s="3">
        <f t="shared" si="1"/>
        <v>0</v>
      </c>
    </row>
    <row r="49" spans="1:29">
      <c r="A49" s="3" t="s">
        <v>251</v>
      </c>
      <c r="C49" s="3" t="s">
        <v>198</v>
      </c>
      <c r="E49" s="3">
        <f t="shared" si="2"/>
        <v>15943844</v>
      </c>
      <c r="G49" s="3">
        <f>195190+3905590</f>
        <v>4100780</v>
      </c>
      <c r="I49" s="3">
        <v>20044624</v>
      </c>
      <c r="K49" s="3">
        <f t="shared" si="3"/>
        <v>3573721</v>
      </c>
      <c r="M49" s="3">
        <v>202556</v>
      </c>
      <c r="O49" s="3">
        <f>789950-202556</f>
        <v>587394</v>
      </c>
      <c r="Q49" s="3">
        <v>4363671</v>
      </c>
      <c r="S49" s="3">
        <v>3867444</v>
      </c>
      <c r="U49" s="3">
        <f t="shared" si="4"/>
        <v>899225</v>
      </c>
      <c r="W49" s="3">
        <v>10914284</v>
      </c>
      <c r="Y49" s="3">
        <v>15680953</v>
      </c>
      <c r="AA49" s="3">
        <f t="shared" si="0"/>
        <v>0</v>
      </c>
      <c r="AC49" s="3">
        <f t="shared" si="1"/>
        <v>0</v>
      </c>
    </row>
    <row r="50" spans="1:29">
      <c r="A50" s="3" t="s">
        <v>252</v>
      </c>
      <c r="C50" s="3" t="s">
        <v>194</v>
      </c>
      <c r="E50" s="3">
        <f t="shared" si="2"/>
        <v>10461645</v>
      </c>
      <c r="G50" s="3">
        <f>33852+21476237</f>
        <v>21510089</v>
      </c>
      <c r="I50" s="3">
        <v>31971734</v>
      </c>
      <c r="K50" s="3">
        <f t="shared" si="3"/>
        <v>2834702</v>
      </c>
      <c r="M50" s="3">
        <v>154851</v>
      </c>
      <c r="O50" s="3">
        <v>3614167</v>
      </c>
      <c r="Q50" s="3">
        <v>6603720</v>
      </c>
      <c r="S50" s="3">
        <v>18257889</v>
      </c>
      <c r="U50" s="3">
        <f t="shared" si="4"/>
        <v>4591512</v>
      </c>
      <c r="W50" s="3">
        <v>2518613</v>
      </c>
      <c r="Y50" s="3">
        <v>25368014</v>
      </c>
      <c r="AA50" s="3">
        <f t="shared" si="0"/>
        <v>0</v>
      </c>
      <c r="AC50" s="3">
        <f t="shared" si="1"/>
        <v>0</v>
      </c>
    </row>
    <row r="51" spans="1:29">
      <c r="A51" s="3" t="s">
        <v>207</v>
      </c>
      <c r="C51" s="3" t="s">
        <v>152</v>
      </c>
      <c r="E51" s="3">
        <f t="shared" si="2"/>
        <v>11086537</v>
      </c>
      <c r="G51" s="3">
        <f>339053+25000+12736215</f>
        <v>13100268</v>
      </c>
      <c r="I51" s="3">
        <v>24186805</v>
      </c>
      <c r="K51" s="3">
        <f t="shared" si="3"/>
        <v>2272902</v>
      </c>
      <c r="M51" s="3">
        <v>235869</v>
      </c>
      <c r="O51" s="3">
        <v>3135030</v>
      </c>
      <c r="Q51" s="3">
        <v>5643801</v>
      </c>
      <c r="S51" s="3">
        <v>11152795</v>
      </c>
      <c r="U51" s="3">
        <f t="shared" si="4"/>
        <v>3986009</v>
      </c>
      <c r="W51" s="3">
        <v>3404200</v>
      </c>
      <c r="Y51" s="3">
        <v>18543004</v>
      </c>
      <c r="AA51" s="3">
        <f t="shared" si="0"/>
        <v>0</v>
      </c>
      <c r="AC51" s="3">
        <f t="shared" si="1"/>
        <v>0</v>
      </c>
    </row>
    <row r="52" spans="1:29">
      <c r="A52" s="3" t="s">
        <v>374</v>
      </c>
      <c r="C52" s="3" t="s">
        <v>154</v>
      </c>
      <c r="E52" s="3">
        <f t="shared" si="2"/>
        <v>13627455</v>
      </c>
      <c r="G52" s="3">
        <f>647488+3785098</f>
        <v>4432586</v>
      </c>
      <c r="I52" s="3">
        <v>18060041</v>
      </c>
      <c r="K52" s="3">
        <f t="shared" si="3"/>
        <v>4681147</v>
      </c>
      <c r="M52" s="3">
        <v>487803</v>
      </c>
      <c r="O52" s="3">
        <v>2950939</v>
      </c>
      <c r="Q52" s="3">
        <v>8119889</v>
      </c>
      <c r="S52" s="3">
        <v>1658846</v>
      </c>
      <c r="U52" s="3">
        <f t="shared" si="4"/>
        <v>514712</v>
      </c>
      <c r="W52" s="3">
        <v>7766594</v>
      </c>
      <c r="Y52" s="3">
        <v>9940152</v>
      </c>
      <c r="AA52" s="3">
        <f>+I52-Q52-Y52</f>
        <v>0</v>
      </c>
      <c r="AC52" s="3">
        <f>+E52+G52-K52-M52-S52-U52-W52-O52</f>
        <v>0</v>
      </c>
    </row>
    <row r="53" spans="1:29">
      <c r="A53" s="3" t="s">
        <v>221</v>
      </c>
      <c r="C53" s="3" t="s">
        <v>197</v>
      </c>
      <c r="E53" s="3">
        <f t="shared" si="2"/>
        <v>13117820</v>
      </c>
      <c r="G53" s="3">
        <v>5640926</v>
      </c>
      <c r="I53" s="3">
        <v>18758746</v>
      </c>
      <c r="K53" s="3">
        <f t="shared" si="3"/>
        <v>2925165</v>
      </c>
      <c r="M53" s="3">
        <v>172397</v>
      </c>
      <c r="O53" s="3">
        <v>797508</v>
      </c>
      <c r="Q53" s="3">
        <v>3895070</v>
      </c>
      <c r="S53" s="3">
        <v>5640926</v>
      </c>
      <c r="U53" s="3">
        <f t="shared" si="4"/>
        <v>17149</v>
      </c>
      <c r="W53" s="3">
        <v>9205601</v>
      </c>
      <c r="Y53" s="3">
        <v>14863676</v>
      </c>
      <c r="AA53" s="3">
        <f>+I53-Q53-Y53</f>
        <v>0</v>
      </c>
      <c r="AC53" s="3">
        <f>+E53+G53-K53-M53-S53-U53-W53-O53</f>
        <v>0</v>
      </c>
    </row>
    <row r="54" spans="1:29">
      <c r="A54" s="3" t="s">
        <v>277</v>
      </c>
      <c r="B54" s="13"/>
      <c r="C54" s="13" t="s">
        <v>216</v>
      </c>
      <c r="E54" s="3">
        <f t="shared" si="2"/>
        <v>16178177</v>
      </c>
      <c r="G54" s="3">
        <f>150000+16703406</f>
        <v>16853406</v>
      </c>
      <c r="I54" s="3">
        <v>33031583</v>
      </c>
      <c r="K54" s="3">
        <f t="shared" si="3"/>
        <v>6858128</v>
      </c>
      <c r="M54" s="3">
        <v>873143</v>
      </c>
      <c r="O54" s="3">
        <f>4878678-873143</f>
        <v>4005535</v>
      </c>
      <c r="Q54" s="3">
        <v>11736806</v>
      </c>
      <c r="S54" s="3">
        <v>12562835</v>
      </c>
      <c r="U54" s="3">
        <f t="shared" si="4"/>
        <v>303866</v>
      </c>
      <c r="W54" s="3">
        <v>8428076</v>
      </c>
      <c r="Y54" s="3">
        <v>21294777</v>
      </c>
      <c r="AA54" s="3">
        <f t="shared" ref="AA54:AA55" si="5">+I54-Q54-Y54</f>
        <v>0</v>
      </c>
      <c r="AC54" s="3">
        <f t="shared" ref="AC54:AC55" si="6">+E54+G54-K54-M54-S54-U54-W54-O54</f>
        <v>0</v>
      </c>
    </row>
    <row r="55" spans="1:29">
      <c r="A55" s="3" t="s">
        <v>290</v>
      </c>
      <c r="C55" s="3" t="s">
        <v>147</v>
      </c>
      <c r="E55" s="3">
        <f t="shared" si="2"/>
        <v>6838687</v>
      </c>
      <c r="G55" s="3">
        <f>26308+1338154</f>
        <v>1364462</v>
      </c>
      <c r="I55" s="3">
        <v>8203149</v>
      </c>
      <c r="K55" s="3">
        <f t="shared" si="3"/>
        <v>3076202</v>
      </c>
      <c r="M55" s="3">
        <v>64977</v>
      </c>
      <c r="O55" s="3">
        <f>482919-64977</f>
        <v>417942</v>
      </c>
      <c r="Q55" s="3">
        <v>3559121</v>
      </c>
      <c r="S55" s="3">
        <v>1364462</v>
      </c>
      <c r="U55" s="3">
        <f t="shared" si="4"/>
        <v>524354</v>
      </c>
      <c r="W55" s="3">
        <v>2755212</v>
      </c>
      <c r="Y55" s="3">
        <v>4644028</v>
      </c>
      <c r="AA55" s="3">
        <f t="shared" si="5"/>
        <v>0</v>
      </c>
      <c r="AC55" s="3">
        <f t="shared" si="6"/>
        <v>0</v>
      </c>
    </row>
    <row r="56" spans="1:29">
      <c r="A56" s="3" t="s">
        <v>217</v>
      </c>
      <c r="C56" s="3" t="s">
        <v>218</v>
      </c>
      <c r="E56" s="3">
        <f t="shared" si="2"/>
        <v>8037741</v>
      </c>
      <c r="G56" s="3">
        <f>271345+5512684</f>
        <v>5784029</v>
      </c>
      <c r="I56" s="3">
        <v>13821770</v>
      </c>
      <c r="K56" s="3">
        <f t="shared" si="3"/>
        <v>3713637</v>
      </c>
      <c r="M56" s="3">
        <v>109970</v>
      </c>
      <c r="O56" s="3">
        <f>582983-109970</f>
        <v>473013</v>
      </c>
      <c r="Q56" s="3">
        <v>4296620</v>
      </c>
      <c r="S56" s="3">
        <v>5517587</v>
      </c>
      <c r="U56" s="3">
        <f t="shared" si="4"/>
        <v>43138</v>
      </c>
      <c r="W56" s="3">
        <v>3964425</v>
      </c>
      <c r="Y56" s="3">
        <v>9525150</v>
      </c>
      <c r="AA56" s="3">
        <f t="shared" si="0"/>
        <v>0</v>
      </c>
      <c r="AC56" s="3">
        <f t="shared" si="1"/>
        <v>0</v>
      </c>
    </row>
    <row r="57" spans="1:29">
      <c r="A57" s="3" t="s">
        <v>375</v>
      </c>
      <c r="C57" s="3" t="s">
        <v>199</v>
      </c>
      <c r="E57" s="3">
        <f t="shared" si="2"/>
        <v>17206720</v>
      </c>
      <c r="G57" s="3">
        <v>8763192</v>
      </c>
      <c r="I57" s="3">
        <v>25969912</v>
      </c>
      <c r="K57" s="3">
        <f t="shared" si="3"/>
        <v>6781453</v>
      </c>
      <c r="M57" s="3">
        <v>541390</v>
      </c>
      <c r="O57" s="3">
        <f>7206488-541390</f>
        <v>6665098</v>
      </c>
      <c r="Q57" s="3">
        <v>13987941</v>
      </c>
      <c r="S57" s="3">
        <v>3342192</v>
      </c>
      <c r="U57" s="3">
        <f t="shared" si="4"/>
        <v>985152</v>
      </c>
      <c r="W57" s="3">
        <v>7654627</v>
      </c>
      <c r="Y57" s="3">
        <v>11981971</v>
      </c>
      <c r="AA57" s="3">
        <f t="shared" si="0"/>
        <v>0</v>
      </c>
      <c r="AC57" s="3">
        <f t="shared" si="1"/>
        <v>0</v>
      </c>
    </row>
    <row r="58" spans="1:29">
      <c r="A58" s="3" t="s">
        <v>208</v>
      </c>
      <c r="C58" s="3" t="s">
        <v>156</v>
      </c>
      <c r="E58" s="3">
        <f t="shared" si="2"/>
        <v>14674798</v>
      </c>
      <c r="G58" s="3">
        <f>100000+2205512</f>
        <v>2305512</v>
      </c>
      <c r="I58" s="3">
        <v>16980310</v>
      </c>
      <c r="K58" s="3">
        <f t="shared" si="3"/>
        <v>3775766</v>
      </c>
      <c r="M58" s="3">
        <v>141359</v>
      </c>
      <c r="O58" s="3">
        <f>586617-141359</f>
        <v>445258</v>
      </c>
      <c r="Q58" s="3">
        <v>4362383</v>
      </c>
      <c r="S58" s="3">
        <v>2305512</v>
      </c>
      <c r="U58" s="3">
        <f t="shared" si="4"/>
        <v>275948</v>
      </c>
      <c r="W58" s="3">
        <v>10036467</v>
      </c>
      <c r="Y58" s="3">
        <v>12617927</v>
      </c>
      <c r="AA58" s="3">
        <f t="shared" si="0"/>
        <v>0</v>
      </c>
      <c r="AC58" s="3">
        <f t="shared" si="1"/>
        <v>0</v>
      </c>
    </row>
    <row r="59" spans="1:29">
      <c r="A59" s="3" t="s">
        <v>363</v>
      </c>
      <c r="C59" s="3" t="s">
        <v>182</v>
      </c>
      <c r="E59" s="3">
        <f t="shared" si="2"/>
        <v>20445108</v>
      </c>
      <c r="G59" s="3">
        <f>20704591+11562229</f>
        <v>32266820</v>
      </c>
      <c r="I59" s="3">
        <v>52711928</v>
      </c>
      <c r="K59" s="3">
        <f t="shared" si="3"/>
        <v>8593031</v>
      </c>
      <c r="M59" s="3">
        <v>857541</v>
      </c>
      <c r="O59" s="3">
        <f>7047282-857541</f>
        <v>6189741</v>
      </c>
      <c r="Q59" s="3">
        <v>15640313</v>
      </c>
      <c r="S59" s="3">
        <v>26525283</v>
      </c>
      <c r="U59" s="3">
        <f t="shared" si="4"/>
        <v>8237503</v>
      </c>
      <c r="W59" s="3">
        <v>2308829</v>
      </c>
      <c r="Y59" s="3">
        <v>37071615</v>
      </c>
      <c r="AA59" s="3">
        <f t="shared" si="0"/>
        <v>0</v>
      </c>
      <c r="AC59" s="3">
        <f t="shared" si="1"/>
        <v>0</v>
      </c>
    </row>
    <row r="60" spans="1:29">
      <c r="A60" s="3" t="s">
        <v>253</v>
      </c>
      <c r="C60" s="3" t="s">
        <v>193</v>
      </c>
      <c r="E60" s="3">
        <f t="shared" si="2"/>
        <v>28398288</v>
      </c>
      <c r="G60" s="3">
        <v>32381991</v>
      </c>
      <c r="I60" s="3">
        <v>60780279</v>
      </c>
      <c r="K60" s="3">
        <f t="shared" si="3"/>
        <v>8111336</v>
      </c>
      <c r="M60" s="3">
        <v>487543</v>
      </c>
      <c r="O60" s="3">
        <f>6165736-487543</f>
        <v>5678193</v>
      </c>
      <c r="Q60" s="3">
        <v>14277072</v>
      </c>
      <c r="S60" s="3">
        <v>27353708</v>
      </c>
      <c r="U60" s="3">
        <f t="shared" si="4"/>
        <v>7508413</v>
      </c>
      <c r="W60" s="3">
        <v>11641086</v>
      </c>
      <c r="Y60" s="3">
        <v>46503207</v>
      </c>
      <c r="AA60" s="3">
        <f>+I60-Q60-Y60</f>
        <v>0</v>
      </c>
      <c r="AC60" s="3">
        <f t="shared" si="1"/>
        <v>0</v>
      </c>
    </row>
    <row r="61" spans="1:29">
      <c r="A61" s="3" t="s">
        <v>254</v>
      </c>
      <c r="C61" s="3" t="s">
        <v>202</v>
      </c>
      <c r="E61" s="3">
        <f t="shared" si="2"/>
        <v>22632445</v>
      </c>
      <c r="G61" s="3">
        <v>29390454</v>
      </c>
      <c r="I61" s="3">
        <v>52022899</v>
      </c>
      <c r="K61" s="3">
        <f t="shared" si="3"/>
        <v>4537895</v>
      </c>
      <c r="M61" s="3">
        <v>609776</v>
      </c>
      <c r="O61" s="3">
        <f>17640580-609776</f>
        <v>17030804</v>
      </c>
      <c r="Q61" s="3">
        <v>22178475</v>
      </c>
      <c r="S61" s="3">
        <v>17180198</v>
      </c>
      <c r="U61" s="3">
        <f t="shared" si="4"/>
        <v>6688512</v>
      </c>
      <c r="W61" s="3">
        <v>5975714</v>
      </c>
      <c r="Y61" s="3">
        <v>29844424</v>
      </c>
      <c r="AA61" s="3">
        <f t="shared" si="0"/>
        <v>0</v>
      </c>
      <c r="AC61" s="3">
        <f t="shared" si="1"/>
        <v>0</v>
      </c>
    </row>
    <row r="62" spans="1:29">
      <c r="A62" s="3" t="s">
        <v>360</v>
      </c>
      <c r="C62" s="3" t="s">
        <v>203</v>
      </c>
      <c r="E62" s="3">
        <f t="shared" si="2"/>
        <v>25484885</v>
      </c>
      <c r="G62" s="3">
        <f>456000+9554863</f>
        <v>10010863</v>
      </c>
      <c r="I62" s="3">
        <v>35495748</v>
      </c>
      <c r="K62" s="3">
        <f t="shared" si="3"/>
        <v>9611894</v>
      </c>
      <c r="M62" s="3">
        <v>690051</v>
      </c>
      <c r="O62" s="3">
        <f>7127564-690051</f>
        <v>6437513</v>
      </c>
      <c r="Q62" s="3">
        <v>16739458</v>
      </c>
      <c r="S62" s="3">
        <v>3217254</v>
      </c>
      <c r="U62" s="3">
        <f t="shared" si="4"/>
        <v>8385995</v>
      </c>
      <c r="W62" s="3">
        <v>7153041</v>
      </c>
      <c r="Y62" s="3">
        <v>18756290</v>
      </c>
      <c r="AA62" s="3">
        <f t="shared" si="0"/>
        <v>0</v>
      </c>
      <c r="AC62" s="3">
        <f t="shared" si="1"/>
        <v>0</v>
      </c>
    </row>
    <row r="63" spans="1:29">
      <c r="A63" s="3" t="s">
        <v>267</v>
      </c>
      <c r="C63" s="3" t="s">
        <v>204</v>
      </c>
      <c r="E63" s="3">
        <f t="shared" si="2"/>
        <v>6175764</v>
      </c>
      <c r="G63" s="3">
        <f>48000+7160297</f>
        <v>7208297</v>
      </c>
      <c r="I63" s="3">
        <v>13384061</v>
      </c>
      <c r="K63" s="3">
        <f t="shared" si="3"/>
        <v>2545474</v>
      </c>
      <c r="M63" s="3">
        <v>132687</v>
      </c>
      <c r="O63" s="3">
        <f>2856853-132687</f>
        <v>2724166</v>
      </c>
      <c r="Q63" s="3">
        <v>5402327</v>
      </c>
      <c r="S63" s="3">
        <v>4863816</v>
      </c>
      <c r="U63" s="3">
        <f t="shared" si="4"/>
        <v>469134</v>
      </c>
      <c r="W63" s="3">
        <v>2648784</v>
      </c>
      <c r="Y63" s="3">
        <v>7981734</v>
      </c>
      <c r="AA63" s="3">
        <f>+I63-Q63-Y63</f>
        <v>0</v>
      </c>
      <c r="AC63" s="3">
        <f t="shared" si="1"/>
        <v>0</v>
      </c>
    </row>
    <row r="64" spans="1:29">
      <c r="A64" s="3" t="s">
        <v>361</v>
      </c>
      <c r="C64" s="3" t="s">
        <v>205</v>
      </c>
      <c r="E64" s="3">
        <f t="shared" si="2"/>
        <v>17496969</v>
      </c>
      <c r="G64" s="3">
        <f>3091702+27389723</f>
        <v>30481425</v>
      </c>
      <c r="I64" s="3">
        <v>47978394</v>
      </c>
      <c r="K64" s="3">
        <f t="shared" si="3"/>
        <v>5889223</v>
      </c>
      <c r="M64" s="3">
        <v>1044790</v>
      </c>
      <c r="O64" s="3">
        <f>7162386-1044790</f>
        <v>6117596</v>
      </c>
      <c r="Q64" s="3">
        <v>13051609</v>
      </c>
      <c r="S64" s="3">
        <v>24056425</v>
      </c>
      <c r="U64" s="3">
        <f t="shared" si="4"/>
        <v>4817672</v>
      </c>
      <c r="W64" s="3">
        <v>6052688</v>
      </c>
      <c r="Y64" s="3">
        <v>34926785</v>
      </c>
      <c r="AA64" s="3">
        <f t="shared" si="0"/>
        <v>0</v>
      </c>
      <c r="AC64" s="3">
        <f t="shared" si="1"/>
        <v>0</v>
      </c>
    </row>
    <row r="66" spans="1:29">
      <c r="Y66" s="14" t="s">
        <v>257</v>
      </c>
    </row>
    <row r="67" spans="1:29">
      <c r="A67" s="11" t="s">
        <v>256</v>
      </c>
    </row>
    <row r="68" spans="1:29">
      <c r="A68" s="11"/>
    </row>
    <row r="69" spans="1:29" hidden="1">
      <c r="A69" s="3" t="s">
        <v>333</v>
      </c>
      <c r="C69" s="3" t="s">
        <v>263</v>
      </c>
      <c r="E69" s="3">
        <f t="shared" ref="E69:E74" si="7">+I69-G69</f>
        <v>0</v>
      </c>
      <c r="G69" s="3">
        <v>0</v>
      </c>
      <c r="I69" s="3">
        <v>0</v>
      </c>
      <c r="K69" s="3">
        <f t="shared" si="3"/>
        <v>0</v>
      </c>
      <c r="M69" s="3">
        <v>0</v>
      </c>
      <c r="O69" s="3">
        <v>0</v>
      </c>
      <c r="Q69" s="3">
        <v>0</v>
      </c>
      <c r="S69" s="3">
        <v>0</v>
      </c>
      <c r="U69" s="3">
        <f t="shared" si="4"/>
        <v>0</v>
      </c>
      <c r="W69" s="3">
        <v>0</v>
      </c>
      <c r="Y69" s="3">
        <v>0</v>
      </c>
      <c r="AA69" s="3">
        <f t="shared" ref="AA69:AA74" si="8">+I69-Q69-Y69</f>
        <v>0</v>
      </c>
      <c r="AC69" s="3">
        <f t="shared" ref="AC69:AC74" si="9">+E69+G69-K69-M69-S69-U69-W69-O69</f>
        <v>0</v>
      </c>
    </row>
    <row r="70" spans="1:29" hidden="1">
      <c r="A70" s="3" t="s">
        <v>334</v>
      </c>
      <c r="C70" s="3" t="s">
        <v>146</v>
      </c>
      <c r="E70" s="3">
        <f t="shared" si="7"/>
        <v>0</v>
      </c>
      <c r="G70" s="3">
        <v>0</v>
      </c>
      <c r="I70" s="3">
        <v>0</v>
      </c>
      <c r="K70" s="3">
        <f>+Q70-M70-O70</f>
        <v>0</v>
      </c>
      <c r="M70" s="3">
        <v>0</v>
      </c>
      <c r="O70" s="3">
        <v>0</v>
      </c>
      <c r="Q70" s="3">
        <v>0</v>
      </c>
      <c r="S70" s="3">
        <v>0</v>
      </c>
      <c r="U70" s="3">
        <f t="shared" si="4"/>
        <v>0</v>
      </c>
      <c r="W70" s="3">
        <v>0</v>
      </c>
      <c r="Y70" s="3">
        <v>0</v>
      </c>
      <c r="AA70" s="3">
        <f t="shared" si="8"/>
        <v>0</v>
      </c>
      <c r="AC70" s="3">
        <f t="shared" si="9"/>
        <v>0</v>
      </c>
    </row>
    <row r="71" spans="1:29">
      <c r="A71" s="3" t="s">
        <v>150</v>
      </c>
      <c r="C71" s="3" t="s">
        <v>147</v>
      </c>
      <c r="E71" s="17">
        <f t="shared" si="7"/>
        <v>1945214</v>
      </c>
      <c r="F71" s="17"/>
      <c r="G71" s="17">
        <f>8230+2479368</f>
        <v>2487598</v>
      </c>
      <c r="H71" s="17"/>
      <c r="I71" s="17">
        <v>4432812</v>
      </c>
      <c r="J71" s="17"/>
      <c r="K71" s="17">
        <f t="shared" si="3"/>
        <v>836053</v>
      </c>
      <c r="L71" s="17"/>
      <c r="M71" s="17">
        <v>19563</v>
      </c>
      <c r="N71" s="17"/>
      <c r="O71" s="17">
        <f>141643-19563</f>
        <v>122080</v>
      </c>
      <c r="P71" s="17"/>
      <c r="Q71" s="17">
        <v>977696</v>
      </c>
      <c r="R71" s="17"/>
      <c r="S71" s="17">
        <v>2487598</v>
      </c>
      <c r="T71" s="17"/>
      <c r="U71" s="17">
        <f t="shared" si="4"/>
        <v>626190</v>
      </c>
      <c r="V71" s="17"/>
      <c r="W71" s="17">
        <v>341328</v>
      </c>
      <c r="X71" s="17"/>
      <c r="Y71" s="17">
        <v>3455116</v>
      </c>
      <c r="AA71" s="3">
        <f t="shared" si="8"/>
        <v>0</v>
      </c>
      <c r="AC71" s="3">
        <f t="shared" si="9"/>
        <v>0</v>
      </c>
    </row>
    <row r="72" spans="1:29" hidden="1">
      <c r="A72" s="3" t="s">
        <v>335</v>
      </c>
      <c r="C72" s="3" t="s">
        <v>264</v>
      </c>
      <c r="E72" s="3">
        <f t="shared" si="7"/>
        <v>0</v>
      </c>
      <c r="G72" s="3">
        <v>0</v>
      </c>
      <c r="I72" s="3">
        <v>0</v>
      </c>
      <c r="K72" s="3">
        <f>+Q72-M72-O72</f>
        <v>0</v>
      </c>
      <c r="M72" s="3">
        <v>0</v>
      </c>
      <c r="O72" s="3">
        <v>0</v>
      </c>
      <c r="Q72" s="3">
        <v>0</v>
      </c>
      <c r="S72" s="3">
        <v>0</v>
      </c>
      <c r="U72" s="3">
        <f t="shared" si="4"/>
        <v>0</v>
      </c>
      <c r="W72" s="3">
        <v>0</v>
      </c>
      <c r="Y72" s="3">
        <v>0</v>
      </c>
      <c r="AA72" s="3">
        <f t="shared" si="8"/>
        <v>0</v>
      </c>
      <c r="AC72" s="3">
        <f t="shared" si="9"/>
        <v>0</v>
      </c>
    </row>
    <row r="73" spans="1:29">
      <c r="A73" s="13" t="s">
        <v>291</v>
      </c>
      <c r="C73" s="3" t="s">
        <v>152</v>
      </c>
      <c r="E73" s="3">
        <f t="shared" si="7"/>
        <v>2162219</v>
      </c>
      <c r="G73" s="3">
        <v>32520</v>
      </c>
      <c r="I73" s="3">
        <v>2194739</v>
      </c>
      <c r="K73" s="3">
        <f t="shared" si="3"/>
        <v>531690</v>
      </c>
      <c r="M73" s="3">
        <v>41562</v>
      </c>
      <c r="O73" s="3">
        <v>165468</v>
      </c>
      <c r="Q73" s="3">
        <v>738720</v>
      </c>
      <c r="S73" s="3">
        <v>32520</v>
      </c>
      <c r="U73" s="3">
        <f t="shared" si="4"/>
        <v>0</v>
      </c>
      <c r="W73" s="3">
        <v>1423499</v>
      </c>
      <c r="Y73" s="3">
        <v>1456019</v>
      </c>
      <c r="AA73" s="3">
        <f t="shared" si="8"/>
        <v>0</v>
      </c>
      <c r="AC73" s="3">
        <f t="shared" si="9"/>
        <v>0</v>
      </c>
    </row>
    <row r="74" spans="1:29">
      <c r="A74" s="13" t="s">
        <v>292</v>
      </c>
      <c r="C74" s="3" t="s">
        <v>149</v>
      </c>
      <c r="E74" s="3">
        <f t="shared" si="7"/>
        <v>5705812</v>
      </c>
      <c r="G74" s="3">
        <f>477184+2437332</f>
        <v>2914516</v>
      </c>
      <c r="I74" s="3">
        <v>8620328</v>
      </c>
      <c r="K74" s="3">
        <f t="shared" si="3"/>
        <v>1271228</v>
      </c>
      <c r="M74" s="3">
        <v>161584</v>
      </c>
      <c r="O74" s="3">
        <v>3025253</v>
      </c>
      <c r="Q74" s="3">
        <v>4458065</v>
      </c>
      <c r="S74" s="3">
        <v>131516</v>
      </c>
      <c r="U74" s="3">
        <f t="shared" si="4"/>
        <v>3328356</v>
      </c>
      <c r="W74" s="3">
        <v>702391</v>
      </c>
      <c r="Y74" s="3">
        <v>4162263</v>
      </c>
      <c r="AA74" s="3">
        <f t="shared" si="8"/>
        <v>0</v>
      </c>
      <c r="AC74" s="3">
        <f t="shared" si="9"/>
        <v>0</v>
      </c>
    </row>
    <row r="75" spans="1:29">
      <c r="A75" s="13" t="s">
        <v>293</v>
      </c>
      <c r="C75" s="3" t="s">
        <v>154</v>
      </c>
      <c r="E75" s="3">
        <f t="shared" si="2"/>
        <v>2668389</v>
      </c>
      <c r="G75" s="3">
        <v>457605</v>
      </c>
      <c r="I75" s="3">
        <v>3125994</v>
      </c>
      <c r="K75" s="3">
        <f t="shared" si="3"/>
        <v>744811</v>
      </c>
      <c r="M75" s="3">
        <v>103946</v>
      </c>
      <c r="O75" s="3">
        <f>331451-103946</f>
        <v>227505</v>
      </c>
      <c r="Q75" s="3">
        <v>1076262</v>
      </c>
      <c r="S75" s="3">
        <v>300329</v>
      </c>
      <c r="U75" s="3">
        <f t="shared" si="4"/>
        <v>517953</v>
      </c>
      <c r="W75" s="3">
        <v>1231450</v>
      </c>
      <c r="Y75" s="3">
        <v>2049732</v>
      </c>
      <c r="AA75" s="3">
        <f t="shared" ref="AA75:AA130" si="10">+I75-Q75-Y75</f>
        <v>0</v>
      </c>
      <c r="AC75" s="3">
        <f t="shared" ref="AC75:AC117" si="11">+E75+G75-K75-M75-S75-U75-W75-O75</f>
        <v>0</v>
      </c>
    </row>
    <row r="76" spans="1:29">
      <c r="A76" s="3" t="s">
        <v>155</v>
      </c>
      <c r="C76" s="3" t="s">
        <v>156</v>
      </c>
      <c r="E76" s="3">
        <f t="shared" si="2"/>
        <v>6673500</v>
      </c>
      <c r="G76" s="3">
        <v>96672</v>
      </c>
      <c r="I76" s="3">
        <v>6770172</v>
      </c>
      <c r="K76" s="3">
        <f t="shared" si="3"/>
        <v>1937501</v>
      </c>
      <c r="M76" s="3">
        <v>36698</v>
      </c>
      <c r="O76" s="3">
        <f>447906-36698</f>
        <v>411208</v>
      </c>
      <c r="Q76" s="3">
        <v>2385407</v>
      </c>
      <c r="S76" s="3">
        <v>96672</v>
      </c>
      <c r="U76" s="3">
        <f t="shared" si="4"/>
        <v>12196</v>
      </c>
      <c r="W76" s="3">
        <v>4275897</v>
      </c>
      <c r="Y76" s="3">
        <v>4384765</v>
      </c>
      <c r="AA76" s="3">
        <f>+I76-Q76-Y76</f>
        <v>0</v>
      </c>
      <c r="AC76" s="3">
        <f>+E76+G76-K76-M76-S76-U76-W76-O76</f>
        <v>0</v>
      </c>
    </row>
    <row r="77" spans="1:29" hidden="1">
      <c r="A77" s="13" t="s">
        <v>281</v>
      </c>
      <c r="C77" s="3" t="s">
        <v>157</v>
      </c>
      <c r="E77" s="3">
        <f t="shared" si="2"/>
        <v>0</v>
      </c>
      <c r="G77" s="3">
        <v>0</v>
      </c>
      <c r="I77" s="3">
        <v>0</v>
      </c>
      <c r="K77" s="3">
        <f t="shared" si="3"/>
        <v>0</v>
      </c>
      <c r="M77" s="3">
        <v>0</v>
      </c>
      <c r="O77" s="3">
        <v>0</v>
      </c>
      <c r="Q77" s="3">
        <v>0</v>
      </c>
      <c r="S77" s="3">
        <v>0</v>
      </c>
      <c r="U77" s="3">
        <f t="shared" si="4"/>
        <v>0</v>
      </c>
      <c r="W77" s="3">
        <v>0</v>
      </c>
      <c r="Y77" s="3">
        <v>0</v>
      </c>
      <c r="AA77" s="3">
        <f t="shared" si="10"/>
        <v>0</v>
      </c>
      <c r="AC77" s="3">
        <f t="shared" si="11"/>
        <v>0</v>
      </c>
    </row>
    <row r="78" spans="1:29">
      <c r="A78" s="13" t="s">
        <v>310</v>
      </c>
      <c r="C78" s="3" t="s">
        <v>158</v>
      </c>
      <c r="E78" s="3">
        <f t="shared" si="2"/>
        <v>1400712</v>
      </c>
      <c r="G78" s="3">
        <v>594721</v>
      </c>
      <c r="I78" s="3">
        <v>1995433</v>
      </c>
      <c r="K78" s="3">
        <f t="shared" si="3"/>
        <v>769181</v>
      </c>
      <c r="M78" s="3">
        <v>207256</v>
      </c>
      <c r="O78" s="3">
        <f>1044675-207256</f>
        <v>837419</v>
      </c>
      <c r="Q78" s="3">
        <v>1813856</v>
      </c>
      <c r="S78" s="3">
        <v>118823</v>
      </c>
      <c r="U78" s="3">
        <f t="shared" si="4"/>
        <v>1236</v>
      </c>
      <c r="W78" s="3">
        <v>61518</v>
      </c>
      <c r="Y78" s="3">
        <v>181577</v>
      </c>
      <c r="AA78" s="3">
        <f t="shared" si="10"/>
        <v>0</v>
      </c>
      <c r="AC78" s="3">
        <f t="shared" si="11"/>
        <v>0</v>
      </c>
    </row>
    <row r="79" spans="1:29">
      <c r="A79" s="3" t="s">
        <v>312</v>
      </c>
      <c r="C79" s="3" t="s">
        <v>159</v>
      </c>
      <c r="E79" s="3">
        <f t="shared" si="2"/>
        <v>28956923</v>
      </c>
      <c r="G79" s="3">
        <f>536778+5312525</f>
        <v>5849303</v>
      </c>
      <c r="I79" s="3">
        <v>34806226</v>
      </c>
      <c r="K79" s="3">
        <f t="shared" si="3"/>
        <v>5653622</v>
      </c>
      <c r="M79" s="3">
        <v>1827104</v>
      </c>
      <c r="O79" s="3">
        <v>1244317</v>
      </c>
      <c r="Q79" s="3">
        <v>8725043</v>
      </c>
      <c r="S79" s="3">
        <v>5792945</v>
      </c>
      <c r="U79" s="3">
        <f t="shared" si="4"/>
        <v>259056</v>
      </c>
      <c r="W79" s="3">
        <v>20029182</v>
      </c>
      <c r="Y79" s="3">
        <v>26081183</v>
      </c>
      <c r="AA79" s="3">
        <f t="shared" si="10"/>
        <v>0</v>
      </c>
      <c r="AC79" s="3">
        <f t="shared" si="11"/>
        <v>0</v>
      </c>
    </row>
    <row r="80" spans="1:29" hidden="1">
      <c r="A80" s="3" t="s">
        <v>315</v>
      </c>
      <c r="C80" s="3" t="s">
        <v>160</v>
      </c>
      <c r="E80" s="3">
        <f t="shared" si="2"/>
        <v>0</v>
      </c>
      <c r="G80" s="3">
        <v>0</v>
      </c>
      <c r="I80" s="3">
        <v>0</v>
      </c>
      <c r="K80" s="3">
        <f t="shared" si="3"/>
        <v>0</v>
      </c>
      <c r="M80" s="3">
        <v>0</v>
      </c>
      <c r="O80" s="3">
        <v>0</v>
      </c>
      <c r="Q80" s="3">
        <v>0</v>
      </c>
      <c r="S80" s="3">
        <v>0</v>
      </c>
      <c r="U80" s="3">
        <f t="shared" si="4"/>
        <v>0</v>
      </c>
      <c r="W80" s="3">
        <v>0</v>
      </c>
      <c r="Y80" s="3">
        <v>0</v>
      </c>
      <c r="AA80" s="3">
        <f t="shared" si="10"/>
        <v>0</v>
      </c>
      <c r="AC80" s="3">
        <f t="shared" si="11"/>
        <v>0</v>
      </c>
    </row>
    <row r="81" spans="1:29" hidden="1">
      <c r="A81" s="3" t="s">
        <v>311</v>
      </c>
      <c r="C81" s="3" t="s">
        <v>161</v>
      </c>
      <c r="E81" s="3">
        <f t="shared" si="2"/>
        <v>0</v>
      </c>
      <c r="G81" s="3">
        <v>0</v>
      </c>
      <c r="I81" s="3">
        <v>0</v>
      </c>
      <c r="K81" s="3">
        <f t="shared" si="3"/>
        <v>0</v>
      </c>
      <c r="M81" s="3">
        <v>0</v>
      </c>
      <c r="O81" s="3">
        <v>0</v>
      </c>
      <c r="Q81" s="3">
        <v>0</v>
      </c>
      <c r="S81" s="3">
        <v>0</v>
      </c>
      <c r="U81" s="3">
        <f t="shared" si="4"/>
        <v>0</v>
      </c>
      <c r="W81" s="3">
        <v>0</v>
      </c>
      <c r="Y81" s="3">
        <v>0</v>
      </c>
      <c r="AA81" s="3">
        <f t="shared" si="10"/>
        <v>0</v>
      </c>
      <c r="AC81" s="3">
        <f t="shared" si="11"/>
        <v>0</v>
      </c>
    </row>
    <row r="82" spans="1:29">
      <c r="A82" s="3" t="s">
        <v>309</v>
      </c>
      <c r="C82" s="3" t="s">
        <v>200</v>
      </c>
      <c r="E82" s="3">
        <f t="shared" si="2"/>
        <v>2348765</v>
      </c>
      <c r="G82" s="3">
        <v>1568158</v>
      </c>
      <c r="I82" s="3">
        <v>3916923</v>
      </c>
      <c r="K82" s="3">
        <f t="shared" si="3"/>
        <v>910702</v>
      </c>
      <c r="M82" s="3">
        <v>155964</v>
      </c>
      <c r="O82" s="3">
        <f>694992-155964</f>
        <v>539028</v>
      </c>
      <c r="Q82" s="3">
        <v>1605694</v>
      </c>
      <c r="S82" s="3">
        <v>1132889</v>
      </c>
      <c r="U82" s="3">
        <f t="shared" si="4"/>
        <v>75298</v>
      </c>
      <c r="W82" s="3">
        <v>1103042</v>
      </c>
      <c r="Y82" s="3">
        <v>2311229</v>
      </c>
      <c r="AA82" s="3">
        <f t="shared" si="10"/>
        <v>0</v>
      </c>
      <c r="AC82" s="3">
        <f t="shared" si="11"/>
        <v>0</v>
      </c>
    </row>
    <row r="83" spans="1:29">
      <c r="A83" s="3" t="s">
        <v>318</v>
      </c>
      <c r="C83" s="3" t="s">
        <v>164</v>
      </c>
      <c r="E83" s="3">
        <f>+I83-G83</f>
        <v>21441922</v>
      </c>
      <c r="G83" s="3">
        <v>5171890</v>
      </c>
      <c r="I83" s="3">
        <v>26613812</v>
      </c>
      <c r="K83" s="3">
        <f>+Q83-M83-O83</f>
        <v>6753343</v>
      </c>
      <c r="M83" s="3">
        <v>853833</v>
      </c>
      <c r="O83" s="3">
        <f>4621128-853833</f>
        <v>3767295</v>
      </c>
      <c r="Q83" s="3">
        <v>11374471</v>
      </c>
      <c r="S83" s="3">
        <v>2486387</v>
      </c>
      <c r="U83" s="3">
        <f>Y83-W83-S83</f>
        <v>881514</v>
      </c>
      <c r="W83" s="3">
        <v>11871440</v>
      </c>
      <c r="Y83" s="3">
        <v>15239341</v>
      </c>
      <c r="AA83" s="3">
        <f>+I83-Q83-Y83</f>
        <v>0</v>
      </c>
      <c r="AC83" s="3">
        <f>+E83+G83-K83-M83-S83-U83-W83-O83</f>
        <v>0</v>
      </c>
    </row>
    <row r="84" spans="1:29" hidden="1">
      <c r="A84" s="13" t="s">
        <v>279</v>
      </c>
      <c r="C84" s="3" t="s">
        <v>162</v>
      </c>
      <c r="E84" s="3">
        <f t="shared" si="2"/>
        <v>0</v>
      </c>
      <c r="G84" s="3">
        <v>0</v>
      </c>
      <c r="I84" s="3">
        <v>0</v>
      </c>
      <c r="K84" s="3">
        <f t="shared" si="3"/>
        <v>0</v>
      </c>
      <c r="M84" s="3">
        <v>0</v>
      </c>
      <c r="O84" s="3">
        <v>0</v>
      </c>
      <c r="Q84" s="3">
        <v>0</v>
      </c>
      <c r="S84" s="3">
        <v>0</v>
      </c>
      <c r="U84" s="3">
        <f t="shared" si="4"/>
        <v>0</v>
      </c>
      <c r="W84" s="3">
        <v>0</v>
      </c>
      <c r="Y84" s="3">
        <v>0</v>
      </c>
      <c r="AA84" s="3">
        <f t="shared" si="10"/>
        <v>0</v>
      </c>
      <c r="AC84" s="3">
        <f t="shared" si="11"/>
        <v>0</v>
      </c>
    </row>
    <row r="85" spans="1:29">
      <c r="A85" s="3" t="s">
        <v>320</v>
      </c>
      <c r="C85" s="3" t="s">
        <v>163</v>
      </c>
      <c r="E85" s="3">
        <f t="shared" si="2"/>
        <v>2624844</v>
      </c>
      <c r="G85" s="3">
        <v>62924</v>
      </c>
      <c r="I85" s="3">
        <v>2687768</v>
      </c>
      <c r="K85" s="3">
        <f t="shared" si="3"/>
        <v>1341581</v>
      </c>
      <c r="M85" s="3">
        <v>83041</v>
      </c>
      <c r="O85" s="3">
        <f>411245-83041</f>
        <v>328204</v>
      </c>
      <c r="Q85" s="3">
        <v>1752826</v>
      </c>
      <c r="S85" s="3">
        <v>51706</v>
      </c>
      <c r="U85" s="3">
        <f t="shared" si="4"/>
        <v>403050</v>
      </c>
      <c r="W85" s="3">
        <v>480186</v>
      </c>
      <c r="Y85" s="3">
        <v>934942</v>
      </c>
      <c r="AA85" s="3">
        <f>+I85-Q85-Y85</f>
        <v>0</v>
      </c>
      <c r="AC85" s="3">
        <f t="shared" si="11"/>
        <v>0</v>
      </c>
    </row>
    <row r="86" spans="1:29">
      <c r="A86" s="3" t="s">
        <v>166</v>
      </c>
      <c r="C86" s="3" t="s">
        <v>167</v>
      </c>
      <c r="E86" s="3">
        <f t="shared" si="2"/>
        <v>1144215</v>
      </c>
      <c r="G86" s="3">
        <v>43450</v>
      </c>
      <c r="I86" s="3">
        <v>1187665</v>
      </c>
      <c r="K86" s="3">
        <f t="shared" si="3"/>
        <v>69936</v>
      </c>
      <c r="M86" s="3">
        <v>37500</v>
      </c>
      <c r="O86" s="3">
        <f>56123-37500</f>
        <v>18623</v>
      </c>
      <c r="Q86" s="3">
        <v>126059</v>
      </c>
      <c r="S86" s="3">
        <v>43450</v>
      </c>
      <c r="U86" s="3">
        <f t="shared" si="4"/>
        <v>27148</v>
      </c>
      <c r="W86" s="3">
        <v>991008</v>
      </c>
      <c r="Y86" s="3">
        <v>1061606</v>
      </c>
      <c r="AA86" s="3">
        <f t="shared" si="10"/>
        <v>0</v>
      </c>
      <c r="AC86" s="3">
        <f t="shared" si="11"/>
        <v>0</v>
      </c>
    </row>
    <row r="87" spans="1:29">
      <c r="A87" s="61" t="s">
        <v>319</v>
      </c>
      <c r="C87" s="3" t="s">
        <v>168</v>
      </c>
      <c r="E87" s="3">
        <f t="shared" si="2"/>
        <v>2434160</v>
      </c>
      <c r="G87" s="3">
        <v>27568</v>
      </c>
      <c r="I87" s="3">
        <v>2461728</v>
      </c>
      <c r="K87" s="3">
        <f t="shared" si="3"/>
        <v>1103373</v>
      </c>
      <c r="M87" s="3">
        <v>38917</v>
      </c>
      <c r="O87" s="3">
        <f>337538-38917</f>
        <v>298621</v>
      </c>
      <c r="Q87" s="3">
        <v>1440911</v>
      </c>
      <c r="S87" s="3">
        <v>27568</v>
      </c>
      <c r="U87" s="3">
        <f t="shared" si="4"/>
        <v>71206</v>
      </c>
      <c r="W87" s="3">
        <v>922043</v>
      </c>
      <c r="Y87" s="3">
        <v>1020817</v>
      </c>
      <c r="AA87" s="3">
        <f t="shared" si="10"/>
        <v>0</v>
      </c>
      <c r="AC87" s="3">
        <f t="shared" si="11"/>
        <v>0</v>
      </c>
    </row>
    <row r="88" spans="1:29">
      <c r="A88" s="13" t="s">
        <v>296</v>
      </c>
      <c r="C88" s="3" t="s">
        <v>169</v>
      </c>
      <c r="E88" s="3">
        <f t="shared" ref="E88:E130" si="12">+I88-G88</f>
        <v>3229200</v>
      </c>
      <c r="G88" s="3">
        <f>161360+471319</f>
        <v>632679</v>
      </c>
      <c r="I88" s="3">
        <v>3861879</v>
      </c>
      <c r="K88" s="3">
        <f t="shared" ref="K88:K130" si="13">+Q88-M88-O88</f>
        <v>1673205</v>
      </c>
      <c r="M88" s="3">
        <v>75236</v>
      </c>
      <c r="O88" s="3">
        <f>846324-75236</f>
        <v>771088</v>
      </c>
      <c r="Q88" s="3">
        <v>2519529</v>
      </c>
      <c r="S88" s="3">
        <v>632679</v>
      </c>
      <c r="U88" s="3">
        <f t="shared" ref="U88:U130" si="14">Y88-W88-S88</f>
        <v>139226</v>
      </c>
      <c r="W88" s="3">
        <v>570445</v>
      </c>
      <c r="Y88" s="3">
        <v>1342350</v>
      </c>
      <c r="AA88" s="3">
        <f t="shared" si="10"/>
        <v>0</v>
      </c>
      <c r="AC88" s="3">
        <f t="shared" si="11"/>
        <v>0</v>
      </c>
    </row>
    <row r="89" spans="1:29">
      <c r="A89" s="13" t="s">
        <v>297</v>
      </c>
      <c r="C89" s="3" t="s">
        <v>170</v>
      </c>
      <c r="E89" s="3">
        <f t="shared" si="12"/>
        <v>16823524</v>
      </c>
      <c r="G89" s="3">
        <f>1398750+1205125</f>
        <v>2603875</v>
      </c>
      <c r="I89" s="3">
        <v>19427399</v>
      </c>
      <c r="K89" s="3">
        <f t="shared" si="13"/>
        <v>4089969</v>
      </c>
      <c r="M89" s="3">
        <v>557030</v>
      </c>
      <c r="O89" s="3">
        <f>6440079-557030</f>
        <v>5883049</v>
      </c>
      <c r="Q89" s="3">
        <v>10530048</v>
      </c>
      <c r="S89" s="3">
        <v>467875</v>
      </c>
      <c r="U89" s="3">
        <f t="shared" si="14"/>
        <v>3190095</v>
      </c>
      <c r="W89" s="3">
        <v>5239381</v>
      </c>
      <c r="Y89" s="3">
        <v>8897351</v>
      </c>
      <c r="AA89" s="3">
        <f t="shared" si="10"/>
        <v>0</v>
      </c>
      <c r="AC89" s="3">
        <f t="shared" si="11"/>
        <v>0</v>
      </c>
    </row>
    <row r="90" spans="1:29">
      <c r="A90" s="13" t="s">
        <v>298</v>
      </c>
      <c r="C90" s="3" t="s">
        <v>171</v>
      </c>
      <c r="E90" s="3">
        <f t="shared" si="12"/>
        <v>1070729</v>
      </c>
      <c r="G90" s="3">
        <v>36177</v>
      </c>
      <c r="I90" s="3">
        <v>1106906</v>
      </c>
      <c r="K90" s="3">
        <f t="shared" si="13"/>
        <v>668800</v>
      </c>
      <c r="M90" s="3">
        <v>26099</v>
      </c>
      <c r="O90" s="3">
        <f>351487-26099</f>
        <v>325388</v>
      </c>
      <c r="Q90" s="3">
        <v>1020287</v>
      </c>
      <c r="S90" s="3">
        <v>36177</v>
      </c>
      <c r="U90" s="3">
        <f t="shared" si="14"/>
        <v>11685</v>
      </c>
      <c r="W90" s="3">
        <v>38757</v>
      </c>
      <c r="Y90" s="3">
        <v>86619</v>
      </c>
      <c r="AA90" s="3">
        <f t="shared" si="10"/>
        <v>0</v>
      </c>
      <c r="AC90" s="3">
        <f t="shared" si="11"/>
        <v>0</v>
      </c>
    </row>
    <row r="91" spans="1:29" hidden="1">
      <c r="A91" s="13" t="s">
        <v>357</v>
      </c>
      <c r="C91" s="3" t="s">
        <v>21</v>
      </c>
      <c r="E91" s="3">
        <f t="shared" si="12"/>
        <v>0</v>
      </c>
      <c r="G91" s="3">
        <v>0</v>
      </c>
      <c r="I91" s="3">
        <v>0</v>
      </c>
      <c r="K91" s="3">
        <f t="shared" si="13"/>
        <v>0</v>
      </c>
      <c r="M91" s="3">
        <v>0</v>
      </c>
      <c r="O91" s="3">
        <v>0</v>
      </c>
      <c r="Q91" s="3">
        <v>0</v>
      </c>
      <c r="S91" s="3">
        <v>0</v>
      </c>
      <c r="U91" s="3">
        <f t="shared" si="14"/>
        <v>0</v>
      </c>
      <c r="W91" s="3">
        <v>0</v>
      </c>
      <c r="Y91" s="3">
        <v>0</v>
      </c>
      <c r="AA91" s="3">
        <f t="shared" si="10"/>
        <v>0</v>
      </c>
      <c r="AC91" s="3">
        <f t="shared" si="11"/>
        <v>0</v>
      </c>
    </row>
    <row r="92" spans="1:29">
      <c r="A92" s="13" t="s">
        <v>299</v>
      </c>
      <c r="C92" s="3" t="s">
        <v>172</v>
      </c>
      <c r="E92" s="3">
        <f t="shared" si="12"/>
        <v>4277856</v>
      </c>
      <c r="G92" s="3">
        <v>271873</v>
      </c>
      <c r="I92" s="3">
        <v>4549729</v>
      </c>
      <c r="K92" s="3">
        <f t="shared" si="13"/>
        <v>610067</v>
      </c>
      <c r="M92" s="3">
        <v>172053</v>
      </c>
      <c r="O92" s="3">
        <f>306735-172053</f>
        <v>134682</v>
      </c>
      <c r="Q92" s="3">
        <v>916802</v>
      </c>
      <c r="S92" s="3">
        <v>263629</v>
      </c>
      <c r="U92" s="3">
        <f t="shared" si="14"/>
        <v>1952</v>
      </c>
      <c r="W92" s="3">
        <v>3367346</v>
      </c>
      <c r="Y92" s="3">
        <v>3632927</v>
      </c>
      <c r="AA92" s="3">
        <f t="shared" si="10"/>
        <v>0</v>
      </c>
      <c r="AC92" s="3">
        <f t="shared" si="11"/>
        <v>0</v>
      </c>
    </row>
    <row r="93" spans="1:29">
      <c r="A93" s="13" t="s">
        <v>300</v>
      </c>
      <c r="C93" s="3" t="s">
        <v>173</v>
      </c>
      <c r="E93" s="3">
        <f t="shared" si="12"/>
        <v>446041</v>
      </c>
      <c r="G93" s="3">
        <v>175044</v>
      </c>
      <c r="I93" s="3">
        <v>621085</v>
      </c>
      <c r="K93" s="3">
        <f t="shared" si="13"/>
        <v>904788</v>
      </c>
      <c r="M93" s="3">
        <v>19093</v>
      </c>
      <c r="O93" s="3">
        <f>95464-19093</f>
        <v>76371</v>
      </c>
      <c r="Q93" s="3">
        <v>1000252</v>
      </c>
      <c r="S93" s="3">
        <v>175044</v>
      </c>
      <c r="U93" s="3">
        <f t="shared" si="14"/>
        <v>60581</v>
      </c>
      <c r="W93" s="3">
        <v>-614792</v>
      </c>
      <c r="Y93" s="3">
        <v>-379167</v>
      </c>
      <c r="AA93" s="3">
        <f t="shared" si="10"/>
        <v>0</v>
      </c>
      <c r="AC93" s="3">
        <f t="shared" si="11"/>
        <v>0</v>
      </c>
    </row>
    <row r="94" spans="1:29">
      <c r="A94" s="13" t="s">
        <v>301</v>
      </c>
      <c r="C94" s="3" t="s">
        <v>148</v>
      </c>
      <c r="E94" s="3">
        <f t="shared" si="12"/>
        <v>8147559</v>
      </c>
      <c r="G94" s="3">
        <v>31567</v>
      </c>
      <c r="I94" s="3">
        <v>8179126</v>
      </c>
      <c r="K94" s="3">
        <f t="shared" si="13"/>
        <v>6031996</v>
      </c>
      <c r="M94" s="3">
        <v>122905</v>
      </c>
      <c r="O94" s="3">
        <f>183277-122905</f>
        <v>60372</v>
      </c>
      <c r="Q94" s="3">
        <v>6215273</v>
      </c>
      <c r="S94" s="3">
        <v>31567</v>
      </c>
      <c r="U94" s="3">
        <f t="shared" si="14"/>
        <v>944163</v>
      </c>
      <c r="W94" s="3">
        <v>988123</v>
      </c>
      <c r="Y94" s="3">
        <v>1963853</v>
      </c>
      <c r="AA94" s="3">
        <f>+I94-Q94-Y94</f>
        <v>0</v>
      </c>
      <c r="AC94" s="3">
        <f t="shared" si="11"/>
        <v>0</v>
      </c>
    </row>
    <row r="95" spans="1:29">
      <c r="A95" s="13" t="s">
        <v>302</v>
      </c>
      <c r="C95" s="3" t="s">
        <v>174</v>
      </c>
      <c r="E95" s="3">
        <f t="shared" si="12"/>
        <v>1054417</v>
      </c>
      <c r="G95" s="3">
        <v>27825</v>
      </c>
      <c r="I95" s="3">
        <v>1082242</v>
      </c>
      <c r="K95" s="3">
        <f t="shared" si="13"/>
        <v>101572</v>
      </c>
      <c r="M95" s="3">
        <v>21994</v>
      </c>
      <c r="O95" s="3">
        <f>127335-21994</f>
        <v>105341</v>
      </c>
      <c r="Q95" s="3">
        <v>228907</v>
      </c>
      <c r="S95" s="3">
        <v>27825</v>
      </c>
      <c r="U95" s="3">
        <f t="shared" si="14"/>
        <v>31698</v>
      </c>
      <c r="W95" s="3">
        <v>793812</v>
      </c>
      <c r="Y95" s="3">
        <v>853335</v>
      </c>
      <c r="AA95" s="3">
        <f t="shared" si="10"/>
        <v>0</v>
      </c>
      <c r="AC95" s="3">
        <f t="shared" si="11"/>
        <v>0</v>
      </c>
    </row>
    <row r="96" spans="1:29">
      <c r="A96" s="3" t="s">
        <v>303</v>
      </c>
      <c r="C96" s="3" t="s">
        <v>175</v>
      </c>
      <c r="E96" s="3">
        <f>+I96-G96</f>
        <v>1515278</v>
      </c>
      <c r="G96" s="3">
        <v>128463</v>
      </c>
      <c r="I96" s="3">
        <v>1643741</v>
      </c>
      <c r="K96" s="3">
        <f>+Q96-M96-O96</f>
        <v>1124552</v>
      </c>
      <c r="M96" s="3">
        <v>130284</v>
      </c>
      <c r="O96" s="3">
        <f>406496-130284</f>
        <v>276212</v>
      </c>
      <c r="Q96" s="3">
        <v>1531048</v>
      </c>
      <c r="S96" s="3">
        <v>73965</v>
      </c>
      <c r="U96" s="3">
        <f>Y96-W96-S96</f>
        <v>31328</v>
      </c>
      <c r="W96" s="3">
        <v>7400</v>
      </c>
      <c r="Y96" s="3">
        <v>112693</v>
      </c>
      <c r="AA96" s="3">
        <f>+I96-Q96-Y96</f>
        <v>0</v>
      </c>
      <c r="AC96" s="3">
        <f>+E96+G96-K96-M96-S96-U96-W96-O96</f>
        <v>0</v>
      </c>
    </row>
    <row r="97" spans="1:29">
      <c r="A97" s="13" t="s">
        <v>304</v>
      </c>
      <c r="C97" s="3" t="s">
        <v>176</v>
      </c>
      <c r="E97" s="3">
        <f t="shared" si="12"/>
        <v>1372027</v>
      </c>
      <c r="G97" s="3">
        <v>32929</v>
      </c>
      <c r="I97" s="3">
        <v>1404956</v>
      </c>
      <c r="K97" s="3">
        <f t="shared" si="13"/>
        <v>405500</v>
      </c>
      <c r="M97" s="3">
        <v>23665</v>
      </c>
      <c r="O97" s="3">
        <f>87129-23665</f>
        <v>63464</v>
      </c>
      <c r="Q97" s="3">
        <v>492629</v>
      </c>
      <c r="S97" s="3">
        <v>32929</v>
      </c>
      <c r="U97" s="3">
        <f t="shared" si="14"/>
        <v>626905</v>
      </c>
      <c r="W97" s="3">
        <v>252493</v>
      </c>
      <c r="Y97" s="3">
        <v>912327</v>
      </c>
      <c r="AA97" s="3">
        <f t="shared" si="10"/>
        <v>0</v>
      </c>
      <c r="AC97" s="3">
        <f t="shared" si="11"/>
        <v>0</v>
      </c>
    </row>
    <row r="98" spans="1:29">
      <c r="A98" s="13" t="s">
        <v>359</v>
      </c>
      <c r="C98" s="3" t="s">
        <v>144</v>
      </c>
      <c r="E98" s="3">
        <f t="shared" si="12"/>
        <v>3366077</v>
      </c>
      <c r="G98" s="3">
        <f>227600+796827</f>
        <v>1024427</v>
      </c>
      <c r="I98" s="3">
        <v>4390504</v>
      </c>
      <c r="K98" s="3">
        <f t="shared" si="13"/>
        <v>1007385</v>
      </c>
      <c r="M98" s="3">
        <v>190809</v>
      </c>
      <c r="O98" s="3">
        <f>734365-190809</f>
        <v>543556</v>
      </c>
      <c r="Q98" s="3">
        <v>1741750</v>
      </c>
      <c r="S98" s="3">
        <v>1024427</v>
      </c>
      <c r="U98" s="3">
        <f t="shared" si="14"/>
        <v>303067</v>
      </c>
      <c r="W98" s="3">
        <v>1321260</v>
      </c>
      <c r="Y98" s="3">
        <v>2648754</v>
      </c>
      <c r="AA98" s="3">
        <f t="shared" si="10"/>
        <v>0</v>
      </c>
      <c r="AC98" s="3">
        <f t="shared" si="11"/>
        <v>0</v>
      </c>
    </row>
    <row r="99" spans="1:29">
      <c r="A99" s="13" t="s">
        <v>358</v>
      </c>
      <c r="C99" s="3" t="s">
        <v>177</v>
      </c>
      <c r="E99" s="3">
        <f t="shared" si="12"/>
        <v>5544991</v>
      </c>
      <c r="G99" s="3">
        <v>3406223</v>
      </c>
      <c r="I99" s="3">
        <v>8951214</v>
      </c>
      <c r="K99" s="3">
        <f t="shared" si="13"/>
        <v>1841093</v>
      </c>
      <c r="M99" s="3">
        <v>293713</v>
      </c>
      <c r="O99" s="3">
        <f>1757552-293713</f>
        <v>1463839</v>
      </c>
      <c r="Q99" s="3">
        <v>3598645</v>
      </c>
      <c r="S99" s="3">
        <v>3400419</v>
      </c>
      <c r="U99" s="3">
        <f t="shared" si="14"/>
        <v>588957</v>
      </c>
      <c r="W99" s="3">
        <v>1363193</v>
      </c>
      <c r="Y99" s="3">
        <v>5352569</v>
      </c>
      <c r="AA99" s="3">
        <f t="shared" si="10"/>
        <v>0</v>
      </c>
      <c r="AC99" s="3">
        <f t="shared" si="11"/>
        <v>0</v>
      </c>
    </row>
    <row r="100" spans="1:29" hidden="1">
      <c r="A100" s="3" t="s">
        <v>322</v>
      </c>
      <c r="C100" s="3" t="s">
        <v>153</v>
      </c>
      <c r="E100" s="3">
        <f t="shared" si="12"/>
        <v>0</v>
      </c>
      <c r="G100" s="3">
        <v>0</v>
      </c>
      <c r="I100" s="3">
        <v>0</v>
      </c>
      <c r="K100" s="3">
        <f t="shared" si="13"/>
        <v>0</v>
      </c>
      <c r="M100" s="3">
        <v>0</v>
      </c>
      <c r="O100" s="3">
        <v>0</v>
      </c>
      <c r="Q100" s="3">
        <v>0</v>
      </c>
      <c r="S100" s="3">
        <v>0</v>
      </c>
      <c r="U100" s="3">
        <f t="shared" si="14"/>
        <v>0</v>
      </c>
      <c r="W100" s="3">
        <v>0</v>
      </c>
      <c r="Y100" s="3">
        <v>0</v>
      </c>
      <c r="AA100" s="3">
        <f t="shared" si="10"/>
        <v>0</v>
      </c>
      <c r="AC100" s="3">
        <f t="shared" si="11"/>
        <v>0</v>
      </c>
    </row>
    <row r="101" spans="1:29">
      <c r="A101" s="3" t="s">
        <v>323</v>
      </c>
      <c r="C101" s="3" t="s">
        <v>178</v>
      </c>
      <c r="E101" s="3">
        <f t="shared" si="12"/>
        <v>6582351</v>
      </c>
      <c r="G101" s="3">
        <v>171548</v>
      </c>
      <c r="I101" s="3">
        <v>6753899</v>
      </c>
      <c r="K101" s="3">
        <f t="shared" si="13"/>
        <v>2095683</v>
      </c>
      <c r="M101" s="3">
        <v>208460</v>
      </c>
      <c r="O101" s="3">
        <v>473845</v>
      </c>
      <c r="Q101" s="3">
        <v>2777988</v>
      </c>
      <c r="S101" s="3">
        <v>171548</v>
      </c>
      <c r="U101" s="3">
        <f t="shared" si="14"/>
        <v>1874977</v>
      </c>
      <c r="W101" s="3">
        <v>1929386</v>
      </c>
      <c r="Y101" s="3">
        <v>3975911</v>
      </c>
      <c r="AA101" s="3">
        <f t="shared" si="10"/>
        <v>0</v>
      </c>
      <c r="AC101" s="3">
        <f t="shared" si="11"/>
        <v>0</v>
      </c>
    </row>
    <row r="102" spans="1:29">
      <c r="A102" s="3" t="s">
        <v>179</v>
      </c>
      <c r="C102" s="3" t="s">
        <v>180</v>
      </c>
      <c r="E102" s="3">
        <f t="shared" si="12"/>
        <v>1601661</v>
      </c>
      <c r="G102" s="3">
        <v>184786</v>
      </c>
      <c r="I102" s="3">
        <v>1786447</v>
      </c>
      <c r="K102" s="3">
        <f t="shared" si="13"/>
        <v>208990</v>
      </c>
      <c r="M102" s="3">
        <v>58435</v>
      </c>
      <c r="O102" s="3">
        <v>76207</v>
      </c>
      <c r="Q102" s="3">
        <v>343632</v>
      </c>
      <c r="S102" s="3">
        <v>184786</v>
      </c>
      <c r="U102" s="3">
        <f t="shared" si="14"/>
        <v>1061848</v>
      </c>
      <c r="W102" s="3">
        <v>196181</v>
      </c>
      <c r="Y102" s="3">
        <v>1442815</v>
      </c>
      <c r="AA102" s="3">
        <f t="shared" si="10"/>
        <v>0</v>
      </c>
      <c r="AC102" s="3">
        <f t="shared" si="11"/>
        <v>0</v>
      </c>
    </row>
    <row r="103" spans="1:29" hidden="1">
      <c r="A103" s="3" t="s">
        <v>324</v>
      </c>
      <c r="C103" s="3" t="s">
        <v>181</v>
      </c>
      <c r="E103" s="3">
        <f t="shared" si="12"/>
        <v>0</v>
      </c>
      <c r="G103" s="3">
        <v>0</v>
      </c>
      <c r="I103" s="3">
        <v>0</v>
      </c>
      <c r="K103" s="3">
        <f t="shared" si="13"/>
        <v>0</v>
      </c>
      <c r="M103" s="3">
        <v>0</v>
      </c>
      <c r="O103" s="3">
        <v>0</v>
      </c>
      <c r="Q103" s="3">
        <v>0</v>
      </c>
      <c r="S103" s="3">
        <v>0</v>
      </c>
      <c r="U103" s="3">
        <f t="shared" si="14"/>
        <v>0</v>
      </c>
      <c r="W103" s="3">
        <v>0</v>
      </c>
      <c r="Y103" s="3">
        <v>0</v>
      </c>
      <c r="AA103" s="3">
        <f>+I103-Q103-Y103</f>
        <v>0</v>
      </c>
      <c r="AC103" s="3">
        <f t="shared" si="11"/>
        <v>0</v>
      </c>
    </row>
    <row r="104" spans="1:29">
      <c r="A104" s="3" t="s">
        <v>325</v>
      </c>
      <c r="C104" s="3" t="s">
        <v>182</v>
      </c>
      <c r="E104" s="3">
        <f t="shared" si="12"/>
        <v>4073865</v>
      </c>
      <c r="G104" s="3">
        <f>119608+1112388</f>
        <v>1231996</v>
      </c>
      <c r="I104" s="3">
        <v>5305861</v>
      </c>
      <c r="K104" s="3">
        <f t="shared" si="13"/>
        <v>1465999</v>
      </c>
      <c r="M104" s="3">
        <v>86316</v>
      </c>
      <c r="O104" s="3">
        <v>335520</v>
      </c>
      <c r="Q104" s="3">
        <v>1887835</v>
      </c>
      <c r="S104" s="3">
        <v>1205446</v>
      </c>
      <c r="U104" s="3">
        <f t="shared" si="14"/>
        <v>1251</v>
      </c>
      <c r="W104" s="3">
        <v>2211329</v>
      </c>
      <c r="Y104" s="3">
        <v>3418026</v>
      </c>
      <c r="AA104" s="3">
        <f t="shared" si="10"/>
        <v>0</v>
      </c>
      <c r="AC104" s="3">
        <f t="shared" si="11"/>
        <v>0</v>
      </c>
    </row>
    <row r="105" spans="1:29" hidden="1">
      <c r="A105" s="3" t="s">
        <v>280</v>
      </c>
      <c r="C105" s="3" t="s">
        <v>191</v>
      </c>
      <c r="E105" s="3">
        <f>+I105-G105</f>
        <v>0</v>
      </c>
      <c r="G105" s="3">
        <v>0</v>
      </c>
      <c r="I105" s="3">
        <v>0</v>
      </c>
      <c r="K105" s="3">
        <f>+Q105-M105-O105</f>
        <v>0</v>
      </c>
      <c r="M105" s="3">
        <v>0</v>
      </c>
      <c r="O105" s="3">
        <v>0</v>
      </c>
      <c r="Q105" s="3">
        <v>0</v>
      </c>
      <c r="S105" s="3">
        <v>0</v>
      </c>
      <c r="U105" s="3">
        <f>Y105-W105-S105</f>
        <v>0</v>
      </c>
      <c r="W105" s="3">
        <v>0</v>
      </c>
      <c r="Y105" s="3">
        <v>0</v>
      </c>
      <c r="AA105" s="3">
        <f>+I105-Q105-Y105</f>
        <v>0</v>
      </c>
      <c r="AC105" s="3">
        <f>+E105+G105-K105-M105-S105-U105-W105-O105</f>
        <v>0</v>
      </c>
    </row>
    <row r="106" spans="1:29">
      <c r="A106" s="3" t="s">
        <v>326</v>
      </c>
      <c r="C106" s="3" t="s">
        <v>183</v>
      </c>
      <c r="E106" s="3">
        <f t="shared" si="12"/>
        <v>17701832</v>
      </c>
      <c r="G106" s="3">
        <f>242156+6082653</f>
        <v>6324809</v>
      </c>
      <c r="I106" s="3">
        <v>24026641</v>
      </c>
      <c r="K106" s="3">
        <f t="shared" si="13"/>
        <v>3229913</v>
      </c>
      <c r="M106" s="3">
        <v>234258</v>
      </c>
      <c r="O106" s="3">
        <v>745033</v>
      </c>
      <c r="Q106" s="3">
        <v>4209204</v>
      </c>
      <c r="S106" s="3">
        <v>6308785</v>
      </c>
      <c r="U106" s="3">
        <f t="shared" si="14"/>
        <v>1572699</v>
      </c>
      <c r="W106" s="3">
        <v>11935953</v>
      </c>
      <c r="Y106" s="3">
        <v>19817437</v>
      </c>
      <c r="AA106" s="3">
        <f t="shared" si="10"/>
        <v>0</v>
      </c>
      <c r="AC106" s="3">
        <f t="shared" si="11"/>
        <v>0</v>
      </c>
    </row>
    <row r="107" spans="1:29">
      <c r="A107" s="3" t="s">
        <v>184</v>
      </c>
      <c r="C107" s="3" t="s">
        <v>185</v>
      </c>
      <c r="E107" s="3">
        <f t="shared" si="12"/>
        <v>5594760</v>
      </c>
      <c r="G107" s="3">
        <f>193898+463320</f>
        <v>657218</v>
      </c>
      <c r="I107" s="3">
        <v>6251978</v>
      </c>
      <c r="K107" s="3">
        <f t="shared" si="13"/>
        <v>2035436</v>
      </c>
      <c r="M107" s="3">
        <v>90267</v>
      </c>
      <c r="O107" s="3">
        <v>993807</v>
      </c>
      <c r="Q107" s="3">
        <v>3119510</v>
      </c>
      <c r="S107" s="3">
        <v>643084</v>
      </c>
      <c r="U107" s="3">
        <f t="shared" si="14"/>
        <v>194939</v>
      </c>
      <c r="W107" s="3">
        <v>2294445</v>
      </c>
      <c r="Y107" s="3">
        <v>3132468</v>
      </c>
      <c r="AA107" s="3">
        <f t="shared" si="10"/>
        <v>0</v>
      </c>
      <c r="AC107" s="3">
        <f t="shared" si="11"/>
        <v>0</v>
      </c>
    </row>
    <row r="108" spans="1:29">
      <c r="A108" s="3" t="s">
        <v>268</v>
      </c>
      <c r="C108" s="3" t="s">
        <v>195</v>
      </c>
      <c r="E108" s="3">
        <f t="shared" si="12"/>
        <v>2581719</v>
      </c>
      <c r="G108" s="3">
        <v>4163410</v>
      </c>
      <c r="I108" s="3">
        <v>6745129</v>
      </c>
      <c r="K108" s="3">
        <f t="shared" si="13"/>
        <v>1819873</v>
      </c>
      <c r="M108" s="3">
        <v>211514</v>
      </c>
      <c r="O108" s="3">
        <v>4042473</v>
      </c>
      <c r="Q108" s="3">
        <v>6073860</v>
      </c>
      <c r="S108" s="3">
        <v>698461</v>
      </c>
      <c r="U108" s="3">
        <f t="shared" si="14"/>
        <v>119358</v>
      </c>
      <c r="W108" s="3">
        <v>-146550</v>
      </c>
      <c r="Y108" s="3">
        <v>671269</v>
      </c>
      <c r="AA108" s="3">
        <f t="shared" si="10"/>
        <v>0</v>
      </c>
      <c r="AC108" s="3">
        <f t="shared" si="11"/>
        <v>0</v>
      </c>
    </row>
    <row r="109" spans="1:29">
      <c r="A109" s="13" t="s">
        <v>305</v>
      </c>
      <c r="B109" s="13"/>
      <c r="C109" s="13" t="s">
        <v>162</v>
      </c>
      <c r="E109" s="3">
        <f t="shared" ref="E109" si="15">+I109-G109</f>
        <v>7724500</v>
      </c>
      <c r="G109" s="3">
        <v>163001</v>
      </c>
      <c r="I109" s="3">
        <v>7887501</v>
      </c>
      <c r="K109" s="3">
        <f t="shared" ref="K109" si="16">+Q109-M109-O109</f>
        <v>2177044</v>
      </c>
      <c r="M109" s="3">
        <v>290271</v>
      </c>
      <c r="O109" s="3">
        <v>1373540</v>
      </c>
      <c r="Q109" s="3">
        <v>3840855</v>
      </c>
      <c r="S109" s="3">
        <v>163001</v>
      </c>
      <c r="U109" s="3">
        <f t="shared" ref="U109" si="17">Y109-W109-S109</f>
        <v>71502</v>
      </c>
      <c r="W109" s="3">
        <v>3812143</v>
      </c>
      <c r="Y109" s="3">
        <v>4046646</v>
      </c>
      <c r="AA109" s="3">
        <f t="shared" ref="AA109" si="18">+I109-Q109-Y109</f>
        <v>0</v>
      </c>
      <c r="AC109" s="3">
        <f t="shared" ref="AC109:AC110" si="19">+E109+G109-K109-M109-S109-U109-W109-O109</f>
        <v>0</v>
      </c>
    </row>
    <row r="110" spans="1:29">
      <c r="A110" s="3" t="s">
        <v>165</v>
      </c>
      <c r="C110" s="3" t="s">
        <v>327</v>
      </c>
      <c r="E110" s="3">
        <f t="shared" si="12"/>
        <v>4110340</v>
      </c>
      <c r="G110" s="3">
        <f>215200+6408998</f>
        <v>6624198</v>
      </c>
      <c r="I110" s="3">
        <v>10734538</v>
      </c>
      <c r="K110" s="3">
        <f t="shared" si="13"/>
        <v>2475059</v>
      </c>
      <c r="M110" s="3">
        <v>215435</v>
      </c>
      <c r="O110" s="3">
        <v>1922628</v>
      </c>
      <c r="Q110" s="3">
        <v>4613122</v>
      </c>
      <c r="S110" s="3">
        <v>5654490</v>
      </c>
      <c r="U110" s="3">
        <f t="shared" si="14"/>
        <v>373880</v>
      </c>
      <c r="W110" s="3">
        <v>93046</v>
      </c>
      <c r="Y110" s="3">
        <v>6121416</v>
      </c>
      <c r="AA110" s="3">
        <f t="shared" si="10"/>
        <v>0</v>
      </c>
      <c r="AC110" s="3">
        <f t="shared" si="19"/>
        <v>0</v>
      </c>
    </row>
    <row r="111" spans="1:29">
      <c r="A111" s="3" t="s">
        <v>314</v>
      </c>
      <c r="C111" s="3" t="s">
        <v>262</v>
      </c>
      <c r="E111" s="3">
        <f t="shared" si="12"/>
        <v>2351743</v>
      </c>
      <c r="G111" s="3">
        <f>100344+347779</f>
        <v>448123</v>
      </c>
      <c r="I111" s="3">
        <v>2799866</v>
      </c>
      <c r="K111" s="3">
        <f t="shared" si="13"/>
        <v>880814</v>
      </c>
      <c r="M111" s="3">
        <v>130461</v>
      </c>
      <c r="O111" s="3">
        <v>295738</v>
      </c>
      <c r="Q111" s="3">
        <v>1307013</v>
      </c>
      <c r="S111" s="3">
        <v>438904</v>
      </c>
      <c r="U111" s="3">
        <f t="shared" si="14"/>
        <v>81754</v>
      </c>
      <c r="W111" s="3">
        <v>972195</v>
      </c>
      <c r="Y111" s="3">
        <v>1492853</v>
      </c>
      <c r="AA111" s="3">
        <f>+I111-Q111-Y111</f>
        <v>0</v>
      </c>
      <c r="AC111" s="3">
        <f t="shared" si="11"/>
        <v>0</v>
      </c>
    </row>
    <row r="112" spans="1:29" hidden="1">
      <c r="A112" s="3" t="s">
        <v>364</v>
      </c>
      <c r="C112" s="3" t="s">
        <v>186</v>
      </c>
      <c r="E112" s="3">
        <f t="shared" si="12"/>
        <v>0</v>
      </c>
      <c r="G112" s="3">
        <v>0</v>
      </c>
      <c r="I112" s="3">
        <v>0</v>
      </c>
      <c r="K112" s="3">
        <f t="shared" si="13"/>
        <v>0</v>
      </c>
      <c r="M112" s="3">
        <v>0</v>
      </c>
      <c r="O112" s="3">
        <v>0</v>
      </c>
      <c r="Q112" s="3">
        <v>0</v>
      </c>
      <c r="S112" s="3">
        <v>0</v>
      </c>
      <c r="U112" s="3">
        <f t="shared" si="14"/>
        <v>0</v>
      </c>
      <c r="W112" s="3">
        <v>0</v>
      </c>
      <c r="Y112" s="3">
        <v>0</v>
      </c>
      <c r="AA112" s="3">
        <f t="shared" si="10"/>
        <v>0</v>
      </c>
      <c r="AC112" s="3">
        <f t="shared" si="11"/>
        <v>0</v>
      </c>
    </row>
    <row r="113" spans="1:29">
      <c r="A113" s="3" t="s">
        <v>338</v>
      </c>
      <c r="C113" s="3" t="s">
        <v>187</v>
      </c>
      <c r="E113" s="3">
        <f t="shared" si="12"/>
        <v>893792</v>
      </c>
      <c r="G113" s="3">
        <f>66900+561982</f>
        <v>628882</v>
      </c>
      <c r="I113" s="3">
        <v>1522674</v>
      </c>
      <c r="K113" s="3">
        <f t="shared" si="13"/>
        <v>383564</v>
      </c>
      <c r="M113" s="3">
        <v>14801</v>
      </c>
      <c r="O113" s="3">
        <f>187601-14801</f>
        <v>172800</v>
      </c>
      <c r="Q113" s="3">
        <v>571165</v>
      </c>
      <c r="S113" s="3">
        <v>628882</v>
      </c>
      <c r="U113" s="3">
        <f t="shared" si="14"/>
        <v>54974</v>
      </c>
      <c r="W113" s="3">
        <v>267653</v>
      </c>
      <c r="Y113" s="3">
        <v>951509</v>
      </c>
      <c r="AA113" s="3">
        <f t="shared" si="10"/>
        <v>0</v>
      </c>
      <c r="AC113" s="3">
        <f t="shared" si="11"/>
        <v>0</v>
      </c>
    </row>
    <row r="114" spans="1:29">
      <c r="A114" s="3" t="s">
        <v>329</v>
      </c>
      <c r="C114" s="3" t="s">
        <v>188</v>
      </c>
      <c r="E114" s="3">
        <f t="shared" si="12"/>
        <v>1482355</v>
      </c>
      <c r="G114" s="3">
        <v>106381</v>
      </c>
      <c r="I114" s="3">
        <v>1588736</v>
      </c>
      <c r="K114" s="3">
        <f t="shared" si="13"/>
        <v>716307</v>
      </c>
      <c r="M114" s="3">
        <v>18463</v>
      </c>
      <c r="O114" s="3">
        <f>92528-18463</f>
        <v>74065</v>
      </c>
      <c r="Q114" s="3">
        <v>808835</v>
      </c>
      <c r="S114" s="3">
        <v>75222</v>
      </c>
      <c r="U114" s="3">
        <f t="shared" si="14"/>
        <v>604340</v>
      </c>
      <c r="W114" s="3">
        <v>100339</v>
      </c>
      <c r="Y114" s="3">
        <v>779901</v>
      </c>
      <c r="AA114" s="3">
        <f t="shared" si="10"/>
        <v>0</v>
      </c>
      <c r="AC114" s="3">
        <f t="shared" si="11"/>
        <v>0</v>
      </c>
    </row>
    <row r="115" spans="1:29" hidden="1">
      <c r="A115" s="13" t="s">
        <v>330</v>
      </c>
      <c r="C115" s="3" t="s">
        <v>189</v>
      </c>
      <c r="E115" s="3">
        <f t="shared" si="12"/>
        <v>0</v>
      </c>
      <c r="G115" s="3">
        <v>0</v>
      </c>
      <c r="I115" s="3">
        <v>0</v>
      </c>
      <c r="K115" s="3">
        <f t="shared" si="13"/>
        <v>0</v>
      </c>
      <c r="M115" s="3">
        <v>0</v>
      </c>
      <c r="O115" s="3">
        <v>0</v>
      </c>
      <c r="Q115" s="3">
        <v>0</v>
      </c>
      <c r="S115" s="3">
        <v>0</v>
      </c>
      <c r="U115" s="3">
        <f t="shared" si="14"/>
        <v>0</v>
      </c>
      <c r="W115" s="3">
        <v>0</v>
      </c>
      <c r="Y115" s="3">
        <v>0</v>
      </c>
      <c r="AA115" s="3">
        <f t="shared" si="10"/>
        <v>0</v>
      </c>
      <c r="AC115" s="3">
        <f t="shared" si="11"/>
        <v>0</v>
      </c>
    </row>
    <row r="116" spans="1:29">
      <c r="A116" s="3" t="s">
        <v>331</v>
      </c>
      <c r="C116" s="3" t="s">
        <v>190</v>
      </c>
      <c r="E116" s="3">
        <f t="shared" si="12"/>
        <v>1952424</v>
      </c>
      <c r="G116" s="3">
        <v>3993200</v>
      </c>
      <c r="I116" s="3">
        <v>5945624</v>
      </c>
      <c r="K116" s="3">
        <f t="shared" si="13"/>
        <v>640454</v>
      </c>
      <c r="M116" s="3">
        <v>150268</v>
      </c>
      <c r="O116" s="3">
        <f>1113620-150268</f>
        <v>963352</v>
      </c>
      <c r="Q116" s="3">
        <v>1754074</v>
      </c>
      <c r="S116" s="3">
        <v>3344929</v>
      </c>
      <c r="U116" s="3">
        <f t="shared" si="14"/>
        <v>379951</v>
      </c>
      <c r="W116" s="3">
        <v>466670</v>
      </c>
      <c r="Y116" s="3">
        <v>4191550</v>
      </c>
      <c r="AA116" s="3">
        <f t="shared" si="10"/>
        <v>0</v>
      </c>
      <c r="AC116" s="3">
        <f t="shared" si="11"/>
        <v>0</v>
      </c>
    </row>
    <row r="117" spans="1:29">
      <c r="A117" s="3" t="s">
        <v>332</v>
      </c>
      <c r="C117" s="3" t="s">
        <v>192</v>
      </c>
      <c r="E117" s="3">
        <f t="shared" si="12"/>
        <v>4787069</v>
      </c>
      <c r="G117" s="3">
        <v>107144</v>
      </c>
      <c r="I117" s="3">
        <v>4894213</v>
      </c>
      <c r="K117" s="3">
        <f t="shared" si="13"/>
        <v>1149356</v>
      </c>
      <c r="M117" s="3">
        <v>97023</v>
      </c>
      <c r="O117" s="3">
        <f>434899-97023</f>
        <v>337876</v>
      </c>
      <c r="Q117" s="3">
        <v>1584255</v>
      </c>
      <c r="S117" s="3">
        <v>107144</v>
      </c>
      <c r="U117" s="3">
        <f t="shared" si="14"/>
        <v>438806</v>
      </c>
      <c r="W117" s="3">
        <v>2764008</v>
      </c>
      <c r="Y117" s="3">
        <v>3309958</v>
      </c>
      <c r="AA117" s="3">
        <f t="shared" si="10"/>
        <v>0</v>
      </c>
      <c r="AC117" s="3">
        <f t="shared" si="11"/>
        <v>0</v>
      </c>
    </row>
    <row r="118" spans="1:29" hidden="1">
      <c r="A118" s="3" t="s">
        <v>306</v>
      </c>
      <c r="C118" s="3" t="s">
        <v>193</v>
      </c>
      <c r="E118" s="3">
        <f t="shared" si="12"/>
        <v>0</v>
      </c>
      <c r="G118" s="3">
        <v>0</v>
      </c>
      <c r="I118" s="3">
        <v>0</v>
      </c>
      <c r="K118" s="3">
        <f t="shared" si="13"/>
        <v>0</v>
      </c>
      <c r="M118" s="3">
        <v>0</v>
      </c>
      <c r="O118" s="3">
        <v>0</v>
      </c>
      <c r="Q118" s="3">
        <v>0</v>
      </c>
      <c r="S118" s="3">
        <v>0</v>
      </c>
      <c r="U118" s="3">
        <f t="shared" si="14"/>
        <v>0</v>
      </c>
      <c r="W118" s="3">
        <v>0</v>
      </c>
      <c r="Y118" s="3">
        <v>0</v>
      </c>
      <c r="AA118" s="3">
        <f t="shared" si="10"/>
        <v>0</v>
      </c>
      <c r="AC118" s="3">
        <f>+E118+G118-K118-M118-S118-U118-W118-O118</f>
        <v>0</v>
      </c>
    </row>
    <row r="119" spans="1:29" hidden="1">
      <c r="A119" s="3" t="s">
        <v>376</v>
      </c>
      <c r="C119" s="3" t="s">
        <v>196</v>
      </c>
      <c r="E119" s="3">
        <f t="shared" si="12"/>
        <v>0</v>
      </c>
      <c r="G119" s="3">
        <v>0</v>
      </c>
      <c r="I119" s="3">
        <v>0</v>
      </c>
      <c r="K119" s="3">
        <f t="shared" si="13"/>
        <v>0</v>
      </c>
      <c r="M119" s="3">
        <v>0</v>
      </c>
      <c r="O119" s="3">
        <v>0</v>
      </c>
      <c r="Q119" s="3">
        <v>0</v>
      </c>
      <c r="S119" s="3">
        <v>0</v>
      </c>
      <c r="U119" s="3">
        <f t="shared" si="14"/>
        <v>0</v>
      </c>
      <c r="W119" s="3">
        <v>0</v>
      </c>
      <c r="Y119" s="3">
        <v>0</v>
      </c>
      <c r="AA119" s="3">
        <f t="shared" si="10"/>
        <v>0</v>
      </c>
      <c r="AC119" s="3">
        <f t="shared" ref="AC119:AC130" si="20">+E119+G119-K119-M119-S119-U119-W119-O119</f>
        <v>0</v>
      </c>
    </row>
    <row r="120" spans="1:29">
      <c r="A120" s="3" t="s">
        <v>266</v>
      </c>
      <c r="C120" s="3" t="s">
        <v>194</v>
      </c>
      <c r="E120" s="3">
        <f t="shared" si="12"/>
        <v>2196646</v>
      </c>
      <c r="G120" s="3">
        <v>121415</v>
      </c>
      <c r="I120" s="3">
        <v>2318061</v>
      </c>
      <c r="K120" s="3">
        <f t="shared" si="13"/>
        <v>906563</v>
      </c>
      <c r="M120" s="3">
        <v>122018</v>
      </c>
      <c r="O120" s="3">
        <v>244848</v>
      </c>
      <c r="Q120" s="3">
        <v>1273429</v>
      </c>
      <c r="S120" s="3">
        <v>121415</v>
      </c>
      <c r="U120" s="3">
        <f t="shared" si="14"/>
        <v>188659</v>
      </c>
      <c r="W120" s="3">
        <v>734558</v>
      </c>
      <c r="Y120" s="3">
        <v>1044632</v>
      </c>
      <c r="AA120" s="3">
        <f t="shared" si="10"/>
        <v>0</v>
      </c>
      <c r="AC120" s="3">
        <f t="shared" si="20"/>
        <v>0</v>
      </c>
    </row>
    <row r="121" spans="1:29">
      <c r="A121" s="3" t="s">
        <v>265</v>
      </c>
      <c r="C121" s="3" t="s">
        <v>157</v>
      </c>
      <c r="E121" s="3">
        <f>+I121-G121</f>
        <v>2734640</v>
      </c>
      <c r="G121" s="3">
        <f>31490+346265</f>
        <v>377755</v>
      </c>
      <c r="I121" s="3">
        <v>3112395</v>
      </c>
      <c r="K121" s="3">
        <f>+Q121-M121-O121</f>
        <v>185393</v>
      </c>
      <c r="M121" s="3">
        <v>49692</v>
      </c>
      <c r="O121" s="3">
        <v>199064</v>
      </c>
      <c r="Q121" s="3">
        <v>434149</v>
      </c>
      <c r="S121" s="3">
        <v>377755</v>
      </c>
      <c r="U121" s="3">
        <f>Y121-W121-S121</f>
        <v>19178</v>
      </c>
      <c r="W121" s="3">
        <v>2281313</v>
      </c>
      <c r="Y121" s="3">
        <v>2678246</v>
      </c>
      <c r="AA121" s="3">
        <f>+I121-Q121-Y121</f>
        <v>0</v>
      </c>
      <c r="AC121" s="3">
        <f>+E121+G121-K121-M121-S121-U121-W121-O121</f>
        <v>0</v>
      </c>
    </row>
    <row r="122" spans="1:29">
      <c r="A122" s="13" t="s">
        <v>336</v>
      </c>
      <c r="C122" s="3" t="s">
        <v>197</v>
      </c>
      <c r="E122" s="3">
        <f t="shared" si="12"/>
        <v>4067751</v>
      </c>
      <c r="G122" s="3">
        <v>1333081</v>
      </c>
      <c r="I122" s="3">
        <v>5400832</v>
      </c>
      <c r="K122" s="3">
        <f t="shared" si="13"/>
        <v>2556063</v>
      </c>
      <c r="M122" s="3">
        <v>66815</v>
      </c>
      <c r="O122" s="3">
        <v>944736</v>
      </c>
      <c r="Q122" s="3">
        <v>3567614</v>
      </c>
      <c r="S122" s="3">
        <v>1333081</v>
      </c>
      <c r="U122" s="3">
        <f t="shared" si="14"/>
        <v>216782</v>
      </c>
      <c r="W122" s="3">
        <v>283355</v>
      </c>
      <c r="Y122" s="3">
        <v>1833218</v>
      </c>
      <c r="AA122" s="3">
        <f t="shared" si="10"/>
        <v>0</v>
      </c>
      <c r="AC122" s="3">
        <f t="shared" si="20"/>
        <v>0</v>
      </c>
    </row>
    <row r="123" spans="1:29">
      <c r="A123" s="3" t="s">
        <v>337</v>
      </c>
      <c r="C123" s="3" t="s">
        <v>198</v>
      </c>
      <c r="E123" s="3">
        <f t="shared" si="12"/>
        <v>8564352</v>
      </c>
      <c r="G123" s="3">
        <f>207778+1716688</f>
        <v>1924466</v>
      </c>
      <c r="I123" s="3">
        <v>10488818</v>
      </c>
      <c r="K123" s="3">
        <f t="shared" si="13"/>
        <v>2019542</v>
      </c>
      <c r="M123" s="3">
        <v>103116</v>
      </c>
      <c r="O123" s="3">
        <v>1024022</v>
      </c>
      <c r="Q123" s="3">
        <v>3146680</v>
      </c>
      <c r="S123" s="3">
        <v>956194</v>
      </c>
      <c r="U123" s="3">
        <f t="shared" si="14"/>
        <v>333572</v>
      </c>
      <c r="W123" s="3">
        <v>6052372</v>
      </c>
      <c r="Y123" s="3">
        <v>7342138</v>
      </c>
      <c r="AA123" s="3">
        <f t="shared" si="10"/>
        <v>0</v>
      </c>
      <c r="AC123" s="3">
        <f t="shared" si="20"/>
        <v>0</v>
      </c>
    </row>
    <row r="124" spans="1:29" hidden="1">
      <c r="A124" s="3" t="s">
        <v>362</v>
      </c>
      <c r="C124" s="3" t="s">
        <v>205</v>
      </c>
      <c r="E124" s="3">
        <f t="shared" si="12"/>
        <v>0</v>
      </c>
      <c r="G124" s="3">
        <v>0</v>
      </c>
      <c r="I124" s="3">
        <v>0</v>
      </c>
      <c r="K124" s="3">
        <f t="shared" si="13"/>
        <v>0</v>
      </c>
      <c r="M124" s="3">
        <v>0</v>
      </c>
      <c r="O124" s="3">
        <v>0</v>
      </c>
      <c r="Q124" s="3">
        <v>0</v>
      </c>
      <c r="S124" s="3">
        <v>0</v>
      </c>
      <c r="U124" s="3">
        <f t="shared" si="14"/>
        <v>0</v>
      </c>
      <c r="W124" s="3">
        <v>0</v>
      </c>
      <c r="Y124" s="3">
        <v>0</v>
      </c>
      <c r="AA124" s="3">
        <f t="shared" si="10"/>
        <v>0</v>
      </c>
      <c r="AC124" s="3">
        <f t="shared" si="20"/>
        <v>0</v>
      </c>
    </row>
    <row r="125" spans="1:29">
      <c r="A125" s="3" t="s">
        <v>339</v>
      </c>
      <c r="C125" s="3" t="s">
        <v>199</v>
      </c>
      <c r="E125" s="3">
        <f t="shared" si="12"/>
        <v>7653759</v>
      </c>
      <c r="G125" s="3">
        <v>278135</v>
      </c>
      <c r="I125" s="3">
        <v>7931894</v>
      </c>
      <c r="K125" s="3">
        <f t="shared" si="13"/>
        <v>2233697</v>
      </c>
      <c r="M125" s="3">
        <v>232296</v>
      </c>
      <c r="O125" s="3">
        <f>1054054-232296</f>
        <v>821758</v>
      </c>
      <c r="Q125" s="3">
        <v>3287751</v>
      </c>
      <c r="S125" s="3">
        <v>251358</v>
      </c>
      <c r="U125" s="3">
        <f t="shared" si="14"/>
        <v>4832</v>
      </c>
      <c r="W125" s="3">
        <v>4387953</v>
      </c>
      <c r="Y125" s="3">
        <v>4644143</v>
      </c>
      <c r="AA125" s="3">
        <f t="shared" si="10"/>
        <v>0</v>
      </c>
      <c r="AC125" s="3">
        <f t="shared" si="20"/>
        <v>0</v>
      </c>
    </row>
    <row r="126" spans="1:29" hidden="1">
      <c r="A126" s="3" t="s">
        <v>307</v>
      </c>
      <c r="C126" s="3" t="s">
        <v>200</v>
      </c>
      <c r="E126" s="3">
        <f t="shared" si="12"/>
        <v>0</v>
      </c>
      <c r="G126" s="3">
        <v>0</v>
      </c>
      <c r="I126" s="3">
        <v>0</v>
      </c>
      <c r="K126" s="3">
        <f t="shared" si="13"/>
        <v>0</v>
      </c>
      <c r="M126" s="3">
        <v>0</v>
      </c>
      <c r="O126" s="3">
        <v>0</v>
      </c>
      <c r="Q126" s="3">
        <v>0</v>
      </c>
      <c r="S126" s="3">
        <v>0</v>
      </c>
      <c r="U126" s="3">
        <f t="shared" si="14"/>
        <v>0</v>
      </c>
      <c r="W126" s="3">
        <v>0</v>
      </c>
      <c r="Y126" s="3">
        <v>0</v>
      </c>
      <c r="AA126" s="3">
        <f t="shared" si="10"/>
        <v>0</v>
      </c>
      <c r="AC126" s="3">
        <f t="shared" si="20"/>
        <v>0</v>
      </c>
    </row>
    <row r="127" spans="1:29" hidden="1">
      <c r="A127" s="3" t="s">
        <v>341</v>
      </c>
      <c r="C127" s="3" t="s">
        <v>203</v>
      </c>
      <c r="E127" s="3">
        <f t="shared" si="12"/>
        <v>0</v>
      </c>
      <c r="G127" s="3">
        <v>0</v>
      </c>
      <c r="I127" s="3">
        <v>0</v>
      </c>
      <c r="K127" s="3">
        <f t="shared" si="13"/>
        <v>0</v>
      </c>
      <c r="M127" s="3">
        <v>0</v>
      </c>
      <c r="O127" s="3">
        <v>0</v>
      </c>
      <c r="Q127" s="3">
        <v>0</v>
      </c>
      <c r="S127" s="3">
        <v>0</v>
      </c>
      <c r="U127" s="3">
        <f t="shared" si="14"/>
        <v>0</v>
      </c>
      <c r="W127" s="3">
        <v>0</v>
      </c>
      <c r="Y127" s="3">
        <v>0</v>
      </c>
      <c r="AA127" s="3">
        <f t="shared" si="10"/>
        <v>0</v>
      </c>
      <c r="AC127" s="3">
        <f t="shared" si="20"/>
        <v>0</v>
      </c>
    </row>
    <row r="128" spans="1:29" hidden="1">
      <c r="A128" s="3" t="s">
        <v>308</v>
      </c>
      <c r="C128" s="3" t="s">
        <v>204</v>
      </c>
      <c r="E128" s="3">
        <f t="shared" ref="E128" si="21">+I128-G128</f>
        <v>0</v>
      </c>
      <c r="G128" s="3">
        <v>0</v>
      </c>
      <c r="I128" s="3">
        <v>0</v>
      </c>
      <c r="K128" s="3">
        <f t="shared" ref="K128" si="22">+Q128-M128-O128</f>
        <v>0</v>
      </c>
      <c r="M128" s="3">
        <v>0</v>
      </c>
      <c r="O128" s="3">
        <v>0</v>
      </c>
      <c r="Q128" s="3">
        <v>0</v>
      </c>
      <c r="S128" s="3">
        <v>0</v>
      </c>
      <c r="U128" s="3">
        <f t="shared" ref="U128" si="23">Y128-W128-S128</f>
        <v>0</v>
      </c>
      <c r="W128" s="3">
        <v>0</v>
      </c>
      <c r="Y128" s="3">
        <v>0</v>
      </c>
      <c r="AA128" s="3">
        <f t="shared" si="10"/>
        <v>0</v>
      </c>
      <c r="AC128" s="3">
        <f t="shared" si="20"/>
        <v>0</v>
      </c>
    </row>
    <row r="129" spans="1:29">
      <c r="A129" s="3" t="s">
        <v>201</v>
      </c>
      <c r="C129" s="3" t="s">
        <v>261</v>
      </c>
      <c r="E129" s="3">
        <f t="shared" si="12"/>
        <v>882751</v>
      </c>
      <c r="G129" s="3">
        <f>5400+49640</f>
        <v>55040</v>
      </c>
      <c r="I129" s="3">
        <v>937791</v>
      </c>
      <c r="K129" s="3">
        <f t="shared" si="13"/>
        <v>492410</v>
      </c>
      <c r="M129" s="3">
        <v>24782</v>
      </c>
      <c r="O129" s="3">
        <f>197464-24782</f>
        <v>172682</v>
      </c>
      <c r="Q129" s="3">
        <v>689874</v>
      </c>
      <c r="S129" s="3">
        <v>55040</v>
      </c>
      <c r="U129" s="3">
        <f t="shared" si="14"/>
        <v>0</v>
      </c>
      <c r="W129" s="3">
        <v>192877</v>
      </c>
      <c r="Y129" s="3">
        <v>247917</v>
      </c>
      <c r="AA129" s="3">
        <f t="shared" si="10"/>
        <v>0</v>
      </c>
      <c r="AC129" s="3">
        <f t="shared" si="20"/>
        <v>0</v>
      </c>
    </row>
    <row r="130" spans="1:29">
      <c r="A130" s="3" t="s">
        <v>340</v>
      </c>
      <c r="C130" s="3" t="s">
        <v>206</v>
      </c>
      <c r="E130" s="3">
        <f t="shared" si="12"/>
        <v>5937682</v>
      </c>
      <c r="G130" s="3">
        <f>112500+1789782</f>
        <v>1902282</v>
      </c>
      <c r="I130" s="3">
        <v>7839964</v>
      </c>
      <c r="K130" s="3">
        <f t="shared" si="13"/>
        <v>1596121</v>
      </c>
      <c r="M130" s="3">
        <v>77250</v>
      </c>
      <c r="O130" s="3">
        <f>718006-77250</f>
        <v>640756</v>
      </c>
      <c r="Q130" s="3">
        <v>2314127</v>
      </c>
      <c r="S130" s="3">
        <v>1902282</v>
      </c>
      <c r="U130" s="3">
        <f t="shared" si="14"/>
        <v>2368592</v>
      </c>
      <c r="W130" s="3">
        <v>1254963</v>
      </c>
      <c r="Y130" s="3">
        <v>5525837</v>
      </c>
      <c r="AA130" s="3">
        <f t="shared" si="10"/>
        <v>0</v>
      </c>
      <c r="AC130" s="3">
        <f t="shared" si="20"/>
        <v>0</v>
      </c>
    </row>
  </sheetData>
  <mergeCells count="4">
    <mergeCell ref="E8:H8"/>
    <mergeCell ref="S8:W8"/>
    <mergeCell ref="A1:G1"/>
    <mergeCell ref="K8:O8"/>
  </mergeCells>
  <phoneticPr fontId="3" type="noConversion"/>
  <pageMargins left="0.9" right="0.75" top="0.5" bottom="0.5" header="0.25" footer="0.25"/>
  <pageSetup scale="80" firstPageNumber="6" pageOrder="overThenDown" orientation="portrait" useFirstPageNumber="1" r:id="rId1"/>
  <headerFooter scaleWithDoc="0" alignWithMargins="0"/>
  <rowBreaks count="1" manualBreakCount="1">
    <brk id="66" max="16383" man="1"/>
  </rowBreaks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I7" sqref="I7"/>
    </sheetView>
  </sheetViews>
  <sheetFormatPr defaultColWidth="9.140625" defaultRowHeight="12"/>
  <cols>
    <col min="1" max="1" width="40.7109375" style="13" customWidth="1"/>
    <col min="2" max="2" width="1.7109375" style="13" customWidth="1"/>
    <col min="3" max="3" width="11.7109375" style="13" customWidth="1"/>
    <col min="4" max="4" width="1.7109375" style="13" customWidth="1"/>
    <col min="5" max="5" width="6.140625" style="13" hidden="1" customWidth="1"/>
    <col min="6" max="6" width="1.7109375" style="13" hidden="1" customWidth="1"/>
    <col min="7" max="7" width="11.7109375" style="13" customWidth="1"/>
    <col min="8" max="8" width="1.7109375" style="13" customWidth="1"/>
    <col min="9" max="9" width="11.7109375" style="13" customWidth="1"/>
    <col min="10" max="10" width="1.7109375" style="13" customWidth="1"/>
    <col min="11" max="11" width="11.7109375" style="13" customWidth="1"/>
    <col min="12" max="12" width="1.7109375" style="13" customWidth="1"/>
    <col min="13" max="13" width="11.7109375" style="13" customWidth="1"/>
    <col min="14" max="14" width="1.7109375" style="13" customWidth="1"/>
    <col min="15" max="15" width="11.7109375" style="13" customWidth="1"/>
    <col min="16" max="16" width="1.7109375" style="13" customWidth="1"/>
    <col min="17" max="17" width="11.7109375" style="13" customWidth="1"/>
    <col min="18" max="18" width="1.7109375" style="13" customWidth="1"/>
    <col min="19" max="19" width="11.7109375" style="13" customWidth="1"/>
    <col min="20" max="20" width="1.7109375" style="13" customWidth="1"/>
    <col min="21" max="21" width="11.7109375" style="13" customWidth="1"/>
    <col min="22" max="22" width="2.42578125" style="13" hidden="1" customWidth="1"/>
    <col min="23" max="23" width="11.7109375" style="13" hidden="1" customWidth="1"/>
    <col min="24" max="24" width="1.7109375" style="13" customWidth="1"/>
    <col min="25" max="16384" width="9.140625" style="13"/>
  </cols>
  <sheetData>
    <row r="1" spans="1:24" s="6" customFormat="1">
      <c r="A1" s="28" t="s">
        <v>129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4" s="6" customFormat="1">
      <c r="A2" s="28" t="s">
        <v>350</v>
      </c>
      <c r="B2" s="28"/>
      <c r="C2" s="28"/>
      <c r="D2" s="28"/>
      <c r="E2" s="2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4" s="3" customFormat="1">
      <c r="A3" s="4"/>
      <c r="B3" s="5"/>
      <c r="C3" s="5"/>
      <c r="D3" s="5"/>
      <c r="E3" s="5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4" s="3" customFormat="1">
      <c r="A4" s="6" t="s">
        <v>260</v>
      </c>
    </row>
    <row r="5" spans="1:24" s="3" customFormat="1">
      <c r="A5" s="16"/>
    </row>
    <row r="6" spans="1:24" s="6" customFormat="1">
      <c r="A6" s="26" t="s">
        <v>317</v>
      </c>
      <c r="B6" s="5"/>
      <c r="C6" s="5"/>
      <c r="D6" s="5"/>
      <c r="E6" s="5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W6" s="10" t="s">
        <v>1</v>
      </c>
    </row>
    <row r="7" spans="1:24" s="10" customForma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W7" s="10" t="s">
        <v>130</v>
      </c>
    </row>
    <row r="8" spans="1:24" s="10" customFormat="1">
      <c r="A8" s="18"/>
      <c r="B8" s="2"/>
      <c r="C8" s="2"/>
      <c r="D8" s="2"/>
      <c r="E8" s="2"/>
      <c r="F8" s="2"/>
      <c r="G8" s="2" t="s">
        <v>26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</v>
      </c>
      <c r="W8" s="10" t="s">
        <v>131</v>
      </c>
    </row>
    <row r="9" spans="1:24" s="10" customFormat="1">
      <c r="A9" s="2"/>
      <c r="B9" s="2"/>
      <c r="C9" s="2"/>
      <c r="D9" s="2"/>
      <c r="E9" s="2"/>
      <c r="F9" s="2"/>
      <c r="G9" s="2" t="s">
        <v>132</v>
      </c>
      <c r="H9" s="2"/>
      <c r="I9" s="2"/>
      <c r="J9" s="2"/>
      <c r="K9" s="2" t="s">
        <v>133</v>
      </c>
      <c r="L9" s="2"/>
      <c r="M9" s="2" t="s">
        <v>6</v>
      </c>
      <c r="N9" s="2"/>
      <c r="O9" s="2" t="s">
        <v>134</v>
      </c>
      <c r="P9" s="2"/>
      <c r="Q9" s="2" t="s">
        <v>235</v>
      </c>
      <c r="R9" s="2"/>
      <c r="S9" s="2"/>
      <c r="T9" s="2"/>
      <c r="U9" s="10" t="s">
        <v>135</v>
      </c>
      <c r="W9" s="10" t="s">
        <v>136</v>
      </c>
    </row>
    <row r="10" spans="1:24" s="10" customFormat="1">
      <c r="A10" s="57" t="s">
        <v>282</v>
      </c>
      <c r="C10" s="57" t="s">
        <v>12</v>
      </c>
      <c r="E10" s="57" t="s">
        <v>13</v>
      </c>
      <c r="F10" s="2"/>
      <c r="G10" s="57" t="s">
        <v>137</v>
      </c>
      <c r="H10" s="2"/>
      <c r="I10" s="57" t="s">
        <v>138</v>
      </c>
      <c r="J10" s="2"/>
      <c r="K10" s="57" t="s">
        <v>139</v>
      </c>
      <c r="L10" s="2"/>
      <c r="M10" s="57" t="s">
        <v>140</v>
      </c>
      <c r="N10" s="2"/>
      <c r="O10" s="57" t="s">
        <v>141</v>
      </c>
      <c r="P10" s="2"/>
      <c r="Q10" s="57" t="s">
        <v>142</v>
      </c>
      <c r="R10" s="2"/>
      <c r="S10" s="57" t="s">
        <v>8</v>
      </c>
      <c r="T10" s="2"/>
      <c r="U10" s="57" t="s">
        <v>143</v>
      </c>
      <c r="V10" s="2"/>
      <c r="W10" s="57" t="s">
        <v>3</v>
      </c>
    </row>
    <row r="11" spans="1:24" s="10" customFormat="1">
      <c r="A11" s="2"/>
      <c r="C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4" ht="12.75">
      <c r="A12" s="29" t="s">
        <v>255</v>
      </c>
      <c r="B12" s="15"/>
    </row>
    <row r="13" spans="1:24" ht="12.75">
      <c r="A13" s="29"/>
      <c r="B13" s="15"/>
    </row>
    <row r="14" spans="1:24">
      <c r="A14" s="3" t="s">
        <v>288</v>
      </c>
      <c r="B14" s="3"/>
      <c r="C14" s="3" t="s">
        <v>263</v>
      </c>
      <c r="E14" s="13">
        <v>50773</v>
      </c>
      <c r="G14" s="17">
        <v>0</v>
      </c>
      <c r="H14" s="17"/>
      <c r="I14" s="17">
        <v>266666</v>
      </c>
      <c r="J14" s="17"/>
      <c r="K14" s="17">
        <v>0</v>
      </c>
      <c r="L14" s="17"/>
      <c r="M14" s="17">
        <v>0</v>
      </c>
      <c r="N14" s="17"/>
      <c r="O14" s="17">
        <v>598824</v>
      </c>
      <c r="P14" s="17"/>
      <c r="Q14" s="17">
        <v>0</v>
      </c>
      <c r="R14" s="17"/>
      <c r="S14" s="60">
        <f>SUM(G14:R14)</f>
        <v>865490</v>
      </c>
      <c r="T14" s="17"/>
      <c r="U14" s="17">
        <v>176550</v>
      </c>
      <c r="V14" s="3"/>
      <c r="W14" s="3">
        <f>'St of Net Assets'!M14-U14</f>
        <v>0</v>
      </c>
      <c r="X14" s="17"/>
    </row>
    <row r="15" spans="1:24" s="17" customFormat="1">
      <c r="A15" s="3" t="s">
        <v>241</v>
      </c>
      <c r="C15" s="17" t="s">
        <v>145</v>
      </c>
      <c r="E15" s="56">
        <v>62042</v>
      </c>
      <c r="G15" s="3">
        <f>328504+461807</f>
        <v>790311</v>
      </c>
      <c r="H15" s="3"/>
      <c r="I15" s="3">
        <v>0</v>
      </c>
      <c r="J15" s="3"/>
      <c r="K15" s="3">
        <v>0</v>
      </c>
      <c r="L15" s="3"/>
      <c r="M15" s="3">
        <v>0</v>
      </c>
      <c r="N15" s="3"/>
      <c r="O15" s="3">
        <v>375822</v>
      </c>
      <c r="P15" s="3"/>
      <c r="Q15" s="3">
        <v>0</v>
      </c>
      <c r="R15" s="3"/>
      <c r="S15" s="14">
        <f>SUM(G15:R15)</f>
        <v>1166133</v>
      </c>
      <c r="T15" s="3"/>
      <c r="U15" s="3">
        <v>90586</v>
      </c>
      <c r="V15" s="3"/>
      <c r="W15" s="3">
        <f>'St of Net Assets'!M15-U15</f>
        <v>0</v>
      </c>
      <c r="X15" s="13"/>
    </row>
    <row r="16" spans="1:24">
      <c r="A16" s="3" t="s">
        <v>356</v>
      </c>
      <c r="C16" s="13" t="s">
        <v>146</v>
      </c>
      <c r="E16" s="13">
        <v>50815</v>
      </c>
      <c r="G16" s="3">
        <v>0</v>
      </c>
      <c r="H16" s="3"/>
      <c r="I16" s="3">
        <v>0</v>
      </c>
      <c r="J16" s="3"/>
      <c r="K16" s="3">
        <v>0</v>
      </c>
      <c r="L16" s="3"/>
      <c r="M16" s="3">
        <v>0</v>
      </c>
      <c r="N16" s="3"/>
      <c r="O16" s="3">
        <v>835849</v>
      </c>
      <c r="P16" s="3"/>
      <c r="Q16" s="3">
        <v>0</v>
      </c>
      <c r="R16" s="3"/>
      <c r="S16" s="14">
        <f>SUM(G16:R16)</f>
        <v>835849</v>
      </c>
      <c r="T16" s="3"/>
      <c r="U16" s="3">
        <v>142874</v>
      </c>
      <c r="V16" s="3"/>
      <c r="W16" s="3">
        <f>'St of Net Assets'!M16-U16</f>
        <v>0</v>
      </c>
    </row>
    <row r="17" spans="1:23">
      <c r="A17" s="3" t="s">
        <v>294</v>
      </c>
      <c r="C17" s="13" t="s">
        <v>148</v>
      </c>
      <c r="E17" s="13">
        <v>51169</v>
      </c>
      <c r="G17" s="3">
        <v>2645000</v>
      </c>
      <c r="H17" s="3"/>
      <c r="I17" s="3">
        <v>0</v>
      </c>
      <c r="J17" s="3"/>
      <c r="K17" s="3">
        <v>0</v>
      </c>
      <c r="L17" s="3"/>
      <c r="M17" s="3">
        <v>0</v>
      </c>
      <c r="N17" s="3"/>
      <c r="O17" s="3">
        <v>734273</v>
      </c>
      <c r="P17" s="3"/>
      <c r="Q17" s="3">
        <v>0</v>
      </c>
      <c r="R17" s="3"/>
      <c r="S17" s="14">
        <f t="shared" ref="S17:S64" si="0">SUM(G17:R17)</f>
        <v>3379273</v>
      </c>
      <c r="T17" s="3"/>
      <c r="U17" s="3">
        <v>234897</v>
      </c>
      <c r="V17" s="3"/>
      <c r="W17" s="3">
        <f>'St of Net Assets'!M17-U17</f>
        <v>0</v>
      </c>
    </row>
    <row r="18" spans="1:23">
      <c r="A18" s="3" t="s">
        <v>295</v>
      </c>
      <c r="C18" s="13" t="s">
        <v>151</v>
      </c>
      <c r="E18" s="13">
        <v>50856</v>
      </c>
      <c r="G18" s="3">
        <v>233336</v>
      </c>
      <c r="H18" s="3"/>
      <c r="I18" s="3">
        <v>0</v>
      </c>
      <c r="J18" s="3"/>
      <c r="K18" s="3">
        <v>0</v>
      </c>
      <c r="L18" s="3"/>
      <c r="M18" s="3">
        <v>0</v>
      </c>
      <c r="N18" s="3"/>
      <c r="O18" s="3">
        <v>952432</v>
      </c>
      <c r="P18" s="3"/>
      <c r="Q18" s="3">
        <v>0</v>
      </c>
      <c r="R18" s="3"/>
      <c r="S18" s="14">
        <f t="shared" si="0"/>
        <v>1185768</v>
      </c>
      <c r="T18" s="3"/>
      <c r="U18" s="3">
        <v>95439</v>
      </c>
      <c r="V18" s="3"/>
      <c r="W18" s="3">
        <f>'St of Net Assets'!M18-U18</f>
        <v>0</v>
      </c>
    </row>
    <row r="19" spans="1:23">
      <c r="A19" s="3" t="s">
        <v>222</v>
      </c>
      <c r="C19" s="13" t="s">
        <v>200</v>
      </c>
      <c r="E19" s="13">
        <v>51656</v>
      </c>
      <c r="G19" s="3">
        <v>0</v>
      </c>
      <c r="H19" s="3"/>
      <c r="I19" s="3">
        <v>0</v>
      </c>
      <c r="J19" s="3"/>
      <c r="K19" s="3">
        <v>0</v>
      </c>
      <c r="L19" s="3"/>
      <c r="M19" s="3">
        <v>140050</v>
      </c>
      <c r="N19" s="3"/>
      <c r="O19" s="3">
        <v>410128</v>
      </c>
      <c r="P19" s="3"/>
      <c r="Q19" s="3">
        <v>0</v>
      </c>
      <c r="R19" s="3"/>
      <c r="S19" s="14">
        <f t="shared" si="0"/>
        <v>550178</v>
      </c>
      <c r="T19" s="3"/>
      <c r="U19" s="3">
        <v>65114</v>
      </c>
      <c r="V19" s="3"/>
      <c r="W19" s="3">
        <f>'St of Net Assets'!M19-U19</f>
        <v>0</v>
      </c>
    </row>
    <row r="20" spans="1:23">
      <c r="A20" s="3" t="s">
        <v>366</v>
      </c>
      <c r="C20" s="13" t="s">
        <v>149</v>
      </c>
      <c r="E20" s="13">
        <v>50880</v>
      </c>
      <c r="G20" s="3">
        <v>0</v>
      </c>
      <c r="H20" s="3"/>
      <c r="I20" s="3">
        <v>0</v>
      </c>
      <c r="J20" s="3"/>
      <c r="K20" s="3">
        <v>0</v>
      </c>
      <c r="L20" s="3"/>
      <c r="M20" s="3">
        <v>0</v>
      </c>
      <c r="N20" s="3"/>
      <c r="O20" s="3">
        <v>1890049</v>
      </c>
      <c r="P20" s="3"/>
      <c r="Q20" s="3">
        <v>0</v>
      </c>
      <c r="R20" s="3"/>
      <c r="S20" s="14">
        <f t="shared" si="0"/>
        <v>1890049</v>
      </c>
      <c r="T20" s="3"/>
      <c r="U20" s="3">
        <v>267602</v>
      </c>
      <c r="V20" s="3"/>
      <c r="W20" s="3">
        <f>'St of Net Assets'!M20-U20</f>
        <v>0</v>
      </c>
    </row>
    <row r="21" spans="1:23">
      <c r="A21" s="3" t="s">
        <v>278</v>
      </c>
      <c r="C21" s="13" t="s">
        <v>175</v>
      </c>
      <c r="E21" s="13">
        <v>51201</v>
      </c>
      <c r="G21" s="3">
        <v>26333258</v>
      </c>
      <c r="H21" s="3"/>
      <c r="I21" s="3">
        <v>0</v>
      </c>
      <c r="J21" s="3"/>
      <c r="K21" s="3">
        <v>0</v>
      </c>
      <c r="L21" s="3"/>
      <c r="M21" s="3">
        <v>6264</v>
      </c>
      <c r="N21" s="3"/>
      <c r="O21" s="3">
        <v>729821</v>
      </c>
      <c r="P21" s="3"/>
      <c r="Q21" s="3">
        <v>0</v>
      </c>
      <c r="R21" s="3"/>
      <c r="S21" s="14">
        <f>SUM(G21:R21)</f>
        <v>27069343</v>
      </c>
      <c r="T21" s="3"/>
      <c r="U21" s="3">
        <v>1416779</v>
      </c>
      <c r="V21" s="3"/>
      <c r="W21" s="3">
        <f>'St of Net Assets'!M21-U21</f>
        <v>0</v>
      </c>
    </row>
    <row r="22" spans="1:23" hidden="1">
      <c r="A22" s="3" t="s">
        <v>276</v>
      </c>
      <c r="C22" s="13" t="s">
        <v>216</v>
      </c>
      <c r="E22" s="13">
        <v>63511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4">
        <f t="shared" si="0"/>
        <v>0</v>
      </c>
      <c r="T22" s="3"/>
      <c r="U22" s="3"/>
      <c r="V22" s="3"/>
      <c r="W22" s="3">
        <f>'St of Net Assets'!M22-U22</f>
        <v>0</v>
      </c>
    </row>
    <row r="23" spans="1:23">
      <c r="A23" s="3" t="s">
        <v>365</v>
      </c>
      <c r="C23" s="13" t="s">
        <v>158</v>
      </c>
      <c r="E23" s="13">
        <v>50906</v>
      </c>
      <c r="G23" s="3">
        <v>0</v>
      </c>
      <c r="H23" s="3"/>
      <c r="I23" s="3">
        <v>0</v>
      </c>
      <c r="J23" s="3"/>
      <c r="K23" s="3">
        <v>0</v>
      </c>
      <c r="L23" s="3"/>
      <c r="M23" s="3">
        <v>0</v>
      </c>
      <c r="N23" s="3"/>
      <c r="O23" s="3">
        <v>222084</v>
      </c>
      <c r="P23" s="3"/>
      <c r="Q23" s="3">
        <v>0</v>
      </c>
      <c r="R23" s="3"/>
      <c r="S23" s="14">
        <f t="shared" si="0"/>
        <v>222084</v>
      </c>
      <c r="T23" s="3"/>
      <c r="U23" s="3">
        <v>45857</v>
      </c>
      <c r="V23" s="3"/>
      <c r="W23" s="3">
        <f>'St of Net Assets'!M23-U23</f>
        <v>0</v>
      </c>
    </row>
    <row r="24" spans="1:23">
      <c r="A24" s="3" t="s">
        <v>245</v>
      </c>
      <c r="C24" s="13" t="s">
        <v>209</v>
      </c>
      <c r="E24" s="13">
        <v>65227</v>
      </c>
      <c r="G24" s="3">
        <v>0</v>
      </c>
      <c r="H24" s="3"/>
      <c r="I24" s="3">
        <f>47500+256848+27489</f>
        <v>331837</v>
      </c>
      <c r="J24" s="3"/>
      <c r="K24" s="3">
        <v>0</v>
      </c>
      <c r="L24" s="3"/>
      <c r="M24" s="3">
        <v>21778</v>
      </c>
      <c r="N24" s="3"/>
      <c r="O24" s="3">
        <v>303469</v>
      </c>
      <c r="P24" s="3"/>
      <c r="Q24" s="3">
        <v>0</v>
      </c>
      <c r="R24" s="3"/>
      <c r="S24" s="14">
        <f t="shared" si="0"/>
        <v>657084</v>
      </c>
      <c r="T24" s="3"/>
      <c r="U24" s="3">
        <v>90118</v>
      </c>
      <c r="V24" s="3"/>
      <c r="W24" s="3">
        <f>'St of Net Assets'!M24-U24</f>
        <v>0</v>
      </c>
    </row>
    <row r="25" spans="1:23">
      <c r="A25" s="3" t="s">
        <v>243</v>
      </c>
      <c r="C25" s="13" t="s">
        <v>159</v>
      </c>
      <c r="E25" s="13">
        <v>50922</v>
      </c>
      <c r="G25" s="3">
        <v>0</v>
      </c>
      <c r="H25" s="3"/>
      <c r="I25" s="3">
        <v>0</v>
      </c>
      <c r="J25" s="3"/>
      <c r="K25" s="3">
        <v>0</v>
      </c>
      <c r="L25" s="3"/>
      <c r="M25" s="3">
        <v>217311</v>
      </c>
      <c r="N25" s="3"/>
      <c r="O25" s="3">
        <v>2022501</v>
      </c>
      <c r="P25" s="3"/>
      <c r="Q25" s="3">
        <v>0</v>
      </c>
      <c r="R25" s="3"/>
      <c r="S25" s="14">
        <f t="shared" si="0"/>
        <v>2239812</v>
      </c>
      <c r="T25" s="3"/>
      <c r="U25" s="3">
        <v>253410</v>
      </c>
      <c r="V25" s="3"/>
      <c r="W25" s="3">
        <f>'St of Net Assets'!M25-U25</f>
        <v>0</v>
      </c>
    </row>
    <row r="26" spans="1:23">
      <c r="A26" s="3" t="s">
        <v>242</v>
      </c>
      <c r="C26" s="13" t="s">
        <v>161</v>
      </c>
      <c r="E26" s="13">
        <v>50989</v>
      </c>
      <c r="G26" s="3">
        <v>0</v>
      </c>
      <c r="H26" s="3"/>
      <c r="I26" s="3">
        <v>16666</v>
      </c>
      <c r="J26" s="3"/>
      <c r="K26" s="3">
        <v>0</v>
      </c>
      <c r="L26" s="3"/>
      <c r="M26" s="3">
        <v>124242</v>
      </c>
      <c r="N26" s="3"/>
      <c r="O26" s="3">
        <v>1319210</v>
      </c>
      <c r="P26" s="3"/>
      <c r="Q26" s="3">
        <v>0</v>
      </c>
      <c r="R26" s="3"/>
      <c r="S26" s="14">
        <f t="shared" si="0"/>
        <v>1460118</v>
      </c>
      <c r="T26" s="3"/>
      <c r="U26" s="3">
        <v>237450</v>
      </c>
      <c r="V26" s="3"/>
      <c r="W26" s="3">
        <f>'St of Net Assets'!M26-U26</f>
        <v>0</v>
      </c>
    </row>
    <row r="27" spans="1:23" ht="12" customHeight="1">
      <c r="A27" s="3" t="s">
        <v>367</v>
      </c>
      <c r="C27" s="13" t="s">
        <v>164</v>
      </c>
      <c r="E27" s="13">
        <v>51003</v>
      </c>
      <c r="G27" s="3">
        <v>3500000</v>
      </c>
      <c r="H27" s="3"/>
      <c r="I27" s="3">
        <v>0</v>
      </c>
      <c r="J27" s="3"/>
      <c r="K27" s="3">
        <v>150000</v>
      </c>
      <c r="L27" s="3"/>
      <c r="M27" s="3">
        <v>0</v>
      </c>
      <c r="N27" s="3"/>
      <c r="O27" s="3">
        <v>1313738</v>
      </c>
      <c r="P27" s="3"/>
      <c r="Q27" s="3">
        <v>0</v>
      </c>
      <c r="R27" s="3"/>
      <c r="S27" s="14">
        <f t="shared" si="0"/>
        <v>4963738</v>
      </c>
      <c r="T27" s="3"/>
      <c r="U27" s="3">
        <v>1188385</v>
      </c>
      <c r="V27" s="3"/>
      <c r="W27" s="3">
        <f>'St of Net Assets'!M27-U27</f>
        <v>0</v>
      </c>
    </row>
    <row r="28" spans="1:23">
      <c r="A28" s="3" t="s">
        <v>244</v>
      </c>
      <c r="C28" s="13" t="s">
        <v>162</v>
      </c>
      <c r="E28" s="13">
        <v>51029</v>
      </c>
      <c r="G28" s="3">
        <v>1246000</v>
      </c>
      <c r="H28" s="3"/>
      <c r="I28" s="3">
        <v>0</v>
      </c>
      <c r="J28" s="3"/>
      <c r="K28" s="3">
        <v>1560000</v>
      </c>
      <c r="L28" s="3"/>
      <c r="M28" s="3">
        <v>0</v>
      </c>
      <c r="N28" s="3"/>
      <c r="O28" s="3">
        <v>863764</v>
      </c>
      <c r="P28" s="3"/>
      <c r="Q28" s="3">
        <v>61424</v>
      </c>
      <c r="R28" s="3"/>
      <c r="S28" s="14">
        <f t="shared" si="0"/>
        <v>3731188</v>
      </c>
      <c r="T28" s="3"/>
      <c r="U28" s="3">
        <v>300071</v>
      </c>
      <c r="V28" s="3"/>
      <c r="W28" s="3">
        <f>'St of Net Assets'!M28-U28</f>
        <v>0</v>
      </c>
    </row>
    <row r="29" spans="1:23">
      <c r="A29" s="3" t="s">
        <v>246</v>
      </c>
      <c r="C29" s="13" t="s">
        <v>211</v>
      </c>
      <c r="E29" s="13">
        <v>50963</v>
      </c>
      <c r="G29" s="3">
        <v>0</v>
      </c>
      <c r="H29" s="3"/>
      <c r="I29" s="3">
        <v>19616</v>
      </c>
      <c r="J29" s="3"/>
      <c r="K29" s="3">
        <v>1100000</v>
      </c>
      <c r="L29" s="3"/>
      <c r="M29" s="3">
        <v>0</v>
      </c>
      <c r="N29" s="3"/>
      <c r="O29" s="3">
        <v>1134709</v>
      </c>
      <c r="P29" s="3"/>
      <c r="Q29" s="3">
        <v>0</v>
      </c>
      <c r="R29" s="3"/>
      <c r="S29" s="14">
        <f t="shared" si="0"/>
        <v>2254325</v>
      </c>
      <c r="T29" s="3"/>
      <c r="U29" s="3">
        <v>19616</v>
      </c>
      <c r="V29" s="3"/>
      <c r="W29" s="3">
        <f>'St of Net Assets'!M29-U29</f>
        <v>0</v>
      </c>
    </row>
    <row r="30" spans="1:23">
      <c r="A30" s="3" t="s">
        <v>210</v>
      </c>
      <c r="C30" s="13" t="s">
        <v>167</v>
      </c>
      <c r="E30" s="13">
        <v>62067</v>
      </c>
      <c r="G30" s="3">
        <v>2244000</v>
      </c>
      <c r="H30" s="3"/>
      <c r="I30" s="3">
        <v>0</v>
      </c>
      <c r="J30" s="3"/>
      <c r="K30" s="3">
        <v>0</v>
      </c>
      <c r="L30" s="3"/>
      <c r="M30" s="3">
        <v>0</v>
      </c>
      <c r="N30" s="3"/>
      <c r="O30" s="3">
        <v>560796</v>
      </c>
      <c r="P30" s="3"/>
      <c r="Q30" s="3">
        <v>0</v>
      </c>
      <c r="R30" s="3"/>
      <c r="S30" s="14">
        <f t="shared" si="0"/>
        <v>2804796</v>
      </c>
      <c r="T30" s="3"/>
      <c r="U30" s="3">
        <v>252391</v>
      </c>
      <c r="V30" s="3"/>
      <c r="W30" s="3">
        <f>'St of Net Assets'!M30-U30</f>
        <v>0</v>
      </c>
    </row>
    <row r="31" spans="1:23">
      <c r="A31" s="3" t="s">
        <v>368</v>
      </c>
      <c r="C31" s="13" t="s">
        <v>170</v>
      </c>
      <c r="E31" s="13">
        <v>51060</v>
      </c>
      <c r="G31" s="3">
        <v>17737938</v>
      </c>
      <c r="H31" s="3"/>
      <c r="I31" s="3">
        <v>0</v>
      </c>
      <c r="J31" s="3"/>
      <c r="K31" s="3">
        <v>0</v>
      </c>
      <c r="L31" s="3"/>
      <c r="M31" s="3">
        <v>0</v>
      </c>
      <c r="N31" s="3"/>
      <c r="O31" s="3">
        <v>4057942</v>
      </c>
      <c r="P31" s="3"/>
      <c r="Q31" s="3">
        <v>0</v>
      </c>
      <c r="R31" s="3"/>
      <c r="S31" s="14">
        <f t="shared" si="0"/>
        <v>21795880</v>
      </c>
      <c r="T31" s="3"/>
      <c r="U31" s="3">
        <v>1862756</v>
      </c>
      <c r="V31" s="3"/>
      <c r="W31" s="3">
        <f>'St of Net Assets'!M31-U31</f>
        <v>0</v>
      </c>
    </row>
    <row r="32" spans="1:23">
      <c r="A32" s="3" t="s">
        <v>321</v>
      </c>
      <c r="C32" s="13" t="s">
        <v>169</v>
      </c>
      <c r="E32" s="13">
        <v>51045</v>
      </c>
      <c r="G32" s="3">
        <v>0</v>
      </c>
      <c r="H32" s="3"/>
      <c r="I32" s="3">
        <v>116669</v>
      </c>
      <c r="J32" s="3"/>
      <c r="K32" s="3">
        <v>0</v>
      </c>
      <c r="L32" s="3"/>
      <c r="M32" s="3">
        <v>0</v>
      </c>
      <c r="N32" s="3"/>
      <c r="O32" s="3">
        <v>508721</v>
      </c>
      <c r="P32" s="3"/>
      <c r="Q32" s="3">
        <v>0</v>
      </c>
      <c r="R32" s="3"/>
      <c r="S32" s="14">
        <f t="shared" si="0"/>
        <v>625390</v>
      </c>
      <c r="T32" s="3"/>
      <c r="U32" s="3">
        <v>136047</v>
      </c>
      <c r="V32" s="3"/>
      <c r="W32" s="3">
        <f>'St of Net Assets'!M32-U32</f>
        <v>0</v>
      </c>
    </row>
    <row r="33" spans="1:23">
      <c r="A33" s="3" t="s">
        <v>212</v>
      </c>
      <c r="C33" s="13" t="s">
        <v>172</v>
      </c>
      <c r="E33" s="13">
        <v>51128</v>
      </c>
      <c r="G33" s="3">
        <v>943882</v>
      </c>
      <c r="H33" s="3"/>
      <c r="I33" s="3">
        <v>0</v>
      </c>
      <c r="J33" s="3"/>
      <c r="K33" s="3">
        <v>0</v>
      </c>
      <c r="L33" s="3"/>
      <c r="M33" s="3">
        <v>0</v>
      </c>
      <c r="N33" s="3"/>
      <c r="O33" s="3">
        <v>304077</v>
      </c>
      <c r="P33" s="3"/>
      <c r="Q33" s="3">
        <v>0</v>
      </c>
      <c r="R33" s="3"/>
      <c r="S33" s="14">
        <f t="shared" si="0"/>
        <v>1247959</v>
      </c>
      <c r="T33" s="3"/>
      <c r="U33" s="3">
        <v>84030</v>
      </c>
      <c r="V33" s="3"/>
      <c r="W33" s="3">
        <f>'St of Net Assets'!M33-U33</f>
        <v>0</v>
      </c>
    </row>
    <row r="34" spans="1:23">
      <c r="A34" s="3" t="s">
        <v>247</v>
      </c>
      <c r="C34" s="13" t="s">
        <v>173</v>
      </c>
      <c r="E34" s="13">
        <v>51144</v>
      </c>
      <c r="G34" s="3">
        <v>56298</v>
      </c>
      <c r="H34" s="3"/>
      <c r="I34" s="3">
        <v>3974000</v>
      </c>
      <c r="J34" s="3"/>
      <c r="K34" s="3">
        <v>0</v>
      </c>
      <c r="L34" s="3"/>
      <c r="M34" s="3">
        <v>1949</v>
      </c>
      <c r="N34" s="3"/>
      <c r="O34" s="3">
        <v>608692</v>
      </c>
      <c r="P34" s="3"/>
      <c r="Q34" s="3">
        <v>0</v>
      </c>
      <c r="R34" s="3"/>
      <c r="S34" s="14">
        <f t="shared" si="0"/>
        <v>4640939</v>
      </c>
      <c r="T34" s="3"/>
      <c r="U34" s="3">
        <v>319211</v>
      </c>
      <c r="V34" s="3"/>
      <c r="W34" s="3">
        <f>'St of Net Assets'!M34-U34</f>
        <v>0</v>
      </c>
    </row>
    <row r="35" spans="1:23">
      <c r="A35" s="3" t="s">
        <v>213</v>
      </c>
      <c r="C35" s="13" t="s">
        <v>174</v>
      </c>
      <c r="E35" s="13">
        <v>51185</v>
      </c>
      <c r="G35" s="3">
        <f>950000+5747770</f>
        <v>6697770</v>
      </c>
      <c r="H35" s="3"/>
      <c r="I35" s="3">
        <v>0</v>
      </c>
      <c r="J35" s="3"/>
      <c r="K35" s="3">
        <v>0</v>
      </c>
      <c r="L35" s="3"/>
      <c r="M35" s="3">
        <v>0</v>
      </c>
      <c r="N35" s="3"/>
      <c r="O35" s="3">
        <v>380610</v>
      </c>
      <c r="P35" s="3"/>
      <c r="Q35" s="3">
        <v>0</v>
      </c>
      <c r="R35" s="3"/>
      <c r="S35" s="14">
        <f t="shared" si="0"/>
        <v>7078380</v>
      </c>
      <c r="T35" s="3"/>
      <c r="U35" s="3">
        <v>427625</v>
      </c>
      <c r="V35" s="3"/>
      <c r="W35" s="3">
        <f>'St of Net Assets'!M35-U35</f>
        <v>0</v>
      </c>
    </row>
    <row r="36" spans="1:23" hidden="1">
      <c r="A36" s="3" t="s">
        <v>289</v>
      </c>
      <c r="C36" s="13" t="s">
        <v>175</v>
      </c>
      <c r="E36" s="13">
        <v>47977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4">
        <f t="shared" si="0"/>
        <v>0</v>
      </c>
      <c r="T36" s="3"/>
      <c r="U36" s="3"/>
      <c r="V36" s="3"/>
      <c r="W36" s="3">
        <f>'St of Net Assets'!M36-U36</f>
        <v>0</v>
      </c>
    </row>
    <row r="37" spans="1:23">
      <c r="A37" s="3" t="s">
        <v>215</v>
      </c>
      <c r="C37" s="13" t="s">
        <v>144</v>
      </c>
      <c r="E37" s="13">
        <v>51227</v>
      </c>
      <c r="G37" s="3">
        <v>0</v>
      </c>
      <c r="H37" s="3"/>
      <c r="I37" s="3">
        <v>0</v>
      </c>
      <c r="J37" s="3"/>
      <c r="K37" s="3">
        <v>0</v>
      </c>
      <c r="L37" s="3"/>
      <c r="M37" s="3">
        <v>0</v>
      </c>
      <c r="N37" s="3"/>
      <c r="O37" s="3">
        <v>3491730</v>
      </c>
      <c r="P37" s="3"/>
      <c r="Q37" s="3">
        <v>0</v>
      </c>
      <c r="R37" s="3"/>
      <c r="S37" s="14">
        <f t="shared" si="0"/>
        <v>3491730</v>
      </c>
      <c r="T37" s="3"/>
      <c r="U37" s="3">
        <v>384999</v>
      </c>
      <c r="V37" s="3"/>
      <c r="W37" s="3">
        <f>'St of Net Assets'!M37-U37</f>
        <v>0</v>
      </c>
    </row>
    <row r="38" spans="1:23">
      <c r="A38" s="3" t="s">
        <v>369</v>
      </c>
      <c r="C38" s="13" t="s">
        <v>178</v>
      </c>
      <c r="E38" s="13">
        <v>51243</v>
      </c>
      <c r="G38" s="3">
        <v>0</v>
      </c>
      <c r="H38" s="3"/>
      <c r="I38" s="3">
        <v>0</v>
      </c>
      <c r="J38" s="3"/>
      <c r="K38" s="3">
        <v>0</v>
      </c>
      <c r="L38" s="3"/>
      <c r="M38" s="3">
        <v>0</v>
      </c>
      <c r="N38" s="3"/>
      <c r="O38" s="3">
        <v>1246794</v>
      </c>
      <c r="P38" s="3"/>
      <c r="Q38" s="3">
        <f>13902038+47799</f>
        <v>13949837</v>
      </c>
      <c r="R38" s="3"/>
      <c r="S38" s="14">
        <f t="shared" si="0"/>
        <v>15196631</v>
      </c>
      <c r="T38" s="3"/>
      <c r="U38" s="3">
        <v>429034</v>
      </c>
      <c r="V38" s="3"/>
      <c r="W38" s="3">
        <f>'St of Net Assets'!M38-U38</f>
        <v>0</v>
      </c>
    </row>
    <row r="39" spans="1:23">
      <c r="A39" s="3" t="s">
        <v>248</v>
      </c>
      <c r="C39" s="13" t="s">
        <v>188</v>
      </c>
      <c r="E39" s="13">
        <v>51391</v>
      </c>
      <c r="G39" s="3">
        <v>0</v>
      </c>
      <c r="H39" s="3"/>
      <c r="I39" s="3">
        <v>0</v>
      </c>
      <c r="J39" s="3"/>
      <c r="K39" s="3">
        <v>0</v>
      </c>
      <c r="L39" s="3"/>
      <c r="M39" s="3">
        <v>0</v>
      </c>
      <c r="N39" s="3"/>
      <c r="O39" s="3">
        <v>1190867</v>
      </c>
      <c r="P39" s="3"/>
      <c r="Q39" s="3">
        <v>0</v>
      </c>
      <c r="R39" s="3"/>
      <c r="S39" s="14">
        <f t="shared" si="0"/>
        <v>1190867</v>
      </c>
      <c r="T39" s="3"/>
      <c r="U39" s="3">
        <v>79154</v>
      </c>
      <c r="V39" s="3"/>
      <c r="W39" s="3">
        <f>'St of Net Assets'!M39-U39</f>
        <v>0</v>
      </c>
    </row>
    <row r="40" spans="1:23">
      <c r="A40" s="3" t="s">
        <v>219</v>
      </c>
      <c r="C40" s="13" t="s">
        <v>180</v>
      </c>
      <c r="E40" s="13">
        <v>62109</v>
      </c>
      <c r="G40" s="3">
        <v>0</v>
      </c>
      <c r="H40" s="3"/>
      <c r="I40" s="3">
        <v>0</v>
      </c>
      <c r="J40" s="3"/>
      <c r="K40" s="3">
        <v>0</v>
      </c>
      <c r="L40" s="3"/>
      <c r="M40" s="3">
        <v>0</v>
      </c>
      <c r="N40" s="3"/>
      <c r="O40" s="3">
        <v>1618803</v>
      </c>
      <c r="P40" s="3"/>
      <c r="Q40" s="3">
        <v>192170</v>
      </c>
      <c r="R40" s="3"/>
      <c r="S40" s="14">
        <f t="shared" si="0"/>
        <v>1810973</v>
      </c>
      <c r="T40" s="3"/>
      <c r="U40" s="3">
        <v>243350</v>
      </c>
      <c r="V40" s="3"/>
      <c r="W40" s="3">
        <f>'St of Net Assets'!M40-U40</f>
        <v>0</v>
      </c>
    </row>
    <row r="41" spans="1:23">
      <c r="A41" s="3" t="s">
        <v>370</v>
      </c>
      <c r="C41" s="13" t="s">
        <v>183</v>
      </c>
      <c r="E41" s="13">
        <v>51284</v>
      </c>
      <c r="G41" s="3">
        <v>6705345</v>
      </c>
      <c r="H41" s="3"/>
      <c r="I41" s="3">
        <v>0</v>
      </c>
      <c r="J41" s="3"/>
      <c r="K41" s="3">
        <v>0</v>
      </c>
      <c r="L41" s="3"/>
      <c r="M41" s="3">
        <v>0</v>
      </c>
      <c r="N41" s="3"/>
      <c r="O41" s="3">
        <v>3405568</v>
      </c>
      <c r="P41" s="3"/>
      <c r="Q41" s="3">
        <v>0</v>
      </c>
      <c r="R41" s="3"/>
      <c r="S41" s="14">
        <f t="shared" si="0"/>
        <v>10110913</v>
      </c>
      <c r="T41" s="3"/>
      <c r="U41" s="3">
        <v>619179</v>
      </c>
      <c r="V41" s="3"/>
      <c r="W41" s="3">
        <f>'St of Net Assets'!M41-U41</f>
        <v>0</v>
      </c>
    </row>
    <row r="42" spans="1:23">
      <c r="A42" s="3" t="s">
        <v>371</v>
      </c>
      <c r="C42" s="13" t="s">
        <v>185</v>
      </c>
      <c r="E42" s="13">
        <v>51300</v>
      </c>
      <c r="G42" s="3">
        <v>0</v>
      </c>
      <c r="H42" s="3"/>
      <c r="I42" s="3">
        <v>0</v>
      </c>
      <c r="J42" s="3"/>
      <c r="K42" s="3">
        <v>5601659</v>
      </c>
      <c r="L42" s="3"/>
      <c r="M42" s="3">
        <v>29160</v>
      </c>
      <c r="N42" s="3"/>
      <c r="O42" s="3">
        <v>656018</v>
      </c>
      <c r="P42" s="3"/>
      <c r="Q42" s="3">
        <v>12028060</v>
      </c>
      <c r="R42" s="3"/>
      <c r="S42" s="14">
        <f t="shared" si="0"/>
        <v>18314897</v>
      </c>
      <c r="T42" s="3"/>
      <c r="U42" s="3">
        <v>2020001</v>
      </c>
      <c r="V42" s="3"/>
      <c r="W42" s="3">
        <f>'St of Net Assets'!M42-U42</f>
        <v>0</v>
      </c>
    </row>
    <row r="43" spans="1:23">
      <c r="A43" s="3" t="s">
        <v>214</v>
      </c>
      <c r="C43" s="13" t="s">
        <v>176</v>
      </c>
      <c r="E43" s="13">
        <v>51334</v>
      </c>
      <c r="G43" s="3">
        <v>501934</v>
      </c>
      <c r="H43" s="3"/>
      <c r="I43" s="3">
        <v>266670</v>
      </c>
      <c r="J43" s="3"/>
      <c r="K43" s="3">
        <v>0</v>
      </c>
      <c r="L43" s="3"/>
      <c r="M43" s="3">
        <v>0</v>
      </c>
      <c r="N43" s="3"/>
      <c r="O43" s="3">
        <v>883332</v>
      </c>
      <c r="P43" s="3"/>
      <c r="Q43" s="3">
        <v>0</v>
      </c>
      <c r="R43" s="3"/>
      <c r="S43" s="14">
        <f t="shared" si="0"/>
        <v>1651936</v>
      </c>
      <c r="T43" s="3"/>
      <c r="U43" s="3">
        <v>236398</v>
      </c>
      <c r="V43" s="3"/>
      <c r="W43" s="3">
        <f>'St of Net Assets'!M43-U43</f>
        <v>0</v>
      </c>
    </row>
    <row r="44" spans="1:23">
      <c r="A44" s="3" t="s">
        <v>328</v>
      </c>
      <c r="C44" s="13" t="s">
        <v>206</v>
      </c>
      <c r="E44" s="13">
        <v>51359</v>
      </c>
      <c r="G44" s="3">
        <v>0</v>
      </c>
      <c r="H44" s="3"/>
      <c r="I44" s="3">
        <v>0</v>
      </c>
      <c r="J44" s="3"/>
      <c r="K44" s="3">
        <v>0</v>
      </c>
      <c r="L44" s="3"/>
      <c r="M44" s="3">
        <f>43810000+3935504-5196856+9299</f>
        <v>42557947</v>
      </c>
      <c r="N44" s="3"/>
      <c r="O44" s="3">
        <v>2709335</v>
      </c>
      <c r="P44" s="3"/>
      <c r="Q44" s="3">
        <v>0</v>
      </c>
      <c r="R44" s="3"/>
      <c r="S44" s="14">
        <f t="shared" si="0"/>
        <v>45267282</v>
      </c>
      <c r="T44" s="3"/>
      <c r="U44" s="3">
        <v>2574401</v>
      </c>
      <c r="V44" s="3"/>
      <c r="W44" s="3">
        <f>'St of Net Assets'!M44-U44</f>
        <v>0</v>
      </c>
    </row>
    <row r="45" spans="1:23">
      <c r="A45" s="3" t="s">
        <v>372</v>
      </c>
      <c r="C45" s="13" t="s">
        <v>192</v>
      </c>
      <c r="E45" s="13">
        <v>51433</v>
      </c>
      <c r="G45" s="3">
        <v>0</v>
      </c>
      <c r="H45" s="3"/>
      <c r="I45" s="3">
        <v>0</v>
      </c>
      <c r="J45" s="3"/>
      <c r="K45" s="3">
        <v>0</v>
      </c>
      <c r="L45" s="3"/>
      <c r="M45" s="3">
        <v>3012057</v>
      </c>
      <c r="N45" s="3"/>
      <c r="O45" s="3">
        <v>1403477</v>
      </c>
      <c r="P45" s="3"/>
      <c r="Q45" s="3">
        <v>0</v>
      </c>
      <c r="R45" s="3"/>
      <c r="S45" s="14">
        <f t="shared" si="0"/>
        <v>4415534</v>
      </c>
      <c r="T45" s="3"/>
      <c r="U45" s="3">
        <v>729977</v>
      </c>
      <c r="V45" s="3"/>
      <c r="W45" s="3">
        <f>'St of Net Assets'!M45-U45</f>
        <v>0</v>
      </c>
    </row>
    <row r="46" spans="1:23">
      <c r="A46" s="3" t="s">
        <v>249</v>
      </c>
      <c r="C46" s="13" t="s">
        <v>220</v>
      </c>
      <c r="E46" s="13">
        <v>51375</v>
      </c>
      <c r="G46" s="3">
        <v>0</v>
      </c>
      <c r="H46" s="3"/>
      <c r="I46" s="3">
        <v>54890</v>
      </c>
      <c r="J46" s="3"/>
      <c r="K46" s="3">
        <v>0</v>
      </c>
      <c r="L46" s="3"/>
      <c r="M46" s="3">
        <v>3059000</v>
      </c>
      <c r="N46" s="3"/>
      <c r="O46" s="3">
        <v>400736</v>
      </c>
      <c r="P46" s="3"/>
      <c r="Q46" s="3">
        <v>0</v>
      </c>
      <c r="R46" s="3"/>
      <c r="S46" s="14">
        <f t="shared" si="0"/>
        <v>3514626</v>
      </c>
      <c r="T46" s="3"/>
      <c r="U46" s="3">
        <v>207579</v>
      </c>
      <c r="V46" s="3"/>
      <c r="W46" s="3">
        <f>'St of Net Assets'!M46-U46</f>
        <v>0</v>
      </c>
    </row>
    <row r="47" spans="1:23">
      <c r="A47" s="3" t="s">
        <v>373</v>
      </c>
      <c r="C47" s="13" t="s">
        <v>191</v>
      </c>
      <c r="E47" s="13">
        <v>51417</v>
      </c>
      <c r="G47" s="3">
        <f>240000+11290000-171397</f>
        <v>11358603</v>
      </c>
      <c r="H47" s="3"/>
      <c r="I47" s="3">
        <v>0</v>
      </c>
      <c r="J47" s="3"/>
      <c r="K47" s="3">
        <v>0</v>
      </c>
      <c r="L47" s="3"/>
      <c r="M47" s="3">
        <v>144058</v>
      </c>
      <c r="N47" s="3"/>
      <c r="O47" s="3">
        <v>1298645</v>
      </c>
      <c r="P47" s="3"/>
      <c r="Q47" s="3">
        <v>0</v>
      </c>
      <c r="R47" s="3"/>
      <c r="S47" s="14">
        <f t="shared" si="0"/>
        <v>12801306</v>
      </c>
      <c r="T47" s="3"/>
      <c r="U47" s="3">
        <v>649814</v>
      </c>
      <c r="V47" s="3"/>
      <c r="W47" s="3">
        <f>'St of Net Assets'!M47-U47</f>
        <v>0</v>
      </c>
    </row>
    <row r="48" spans="1:23">
      <c r="A48" s="3" t="s">
        <v>250</v>
      </c>
      <c r="C48" s="13" t="s">
        <v>159</v>
      </c>
      <c r="E48" s="13">
        <v>50948</v>
      </c>
      <c r="G48" s="3">
        <v>0</v>
      </c>
      <c r="H48" s="3"/>
      <c r="I48" s="3">
        <v>0</v>
      </c>
      <c r="J48" s="3"/>
      <c r="K48" s="3">
        <v>0</v>
      </c>
      <c r="L48" s="3"/>
      <c r="M48" s="3">
        <v>3247624</v>
      </c>
      <c r="N48" s="3"/>
      <c r="O48" s="3">
        <v>1455324</v>
      </c>
      <c r="P48" s="3"/>
      <c r="Q48" s="3">
        <v>0</v>
      </c>
      <c r="R48" s="3"/>
      <c r="S48" s="14">
        <f t="shared" si="0"/>
        <v>4702948</v>
      </c>
      <c r="T48" s="3"/>
      <c r="U48" s="3">
        <v>1195369</v>
      </c>
      <c r="V48" s="3"/>
      <c r="W48" s="3">
        <f>'St of Net Assets'!M48-U48</f>
        <v>0</v>
      </c>
    </row>
    <row r="49" spans="1:23">
      <c r="A49" s="3" t="s">
        <v>251</v>
      </c>
      <c r="C49" s="13" t="s">
        <v>198</v>
      </c>
      <c r="E49" s="13">
        <v>63495</v>
      </c>
      <c r="G49" s="3">
        <v>0</v>
      </c>
      <c r="H49" s="3"/>
      <c r="I49" s="3">
        <v>233336</v>
      </c>
      <c r="J49" s="3"/>
      <c r="K49" s="3">
        <v>0</v>
      </c>
      <c r="L49" s="3"/>
      <c r="M49" s="3">
        <v>0</v>
      </c>
      <c r="N49" s="3"/>
      <c r="O49" s="3">
        <v>556614</v>
      </c>
      <c r="P49" s="3"/>
      <c r="Q49" s="3">
        <v>0</v>
      </c>
      <c r="R49" s="3"/>
      <c r="S49" s="14">
        <f t="shared" si="0"/>
        <v>789950</v>
      </c>
      <c r="T49" s="3"/>
      <c r="U49" s="3">
        <v>202556</v>
      </c>
      <c r="V49" s="3"/>
      <c r="W49" s="3">
        <f>'St of Net Assets'!M49-U49</f>
        <v>0</v>
      </c>
    </row>
    <row r="50" spans="1:23">
      <c r="A50" s="3" t="s">
        <v>252</v>
      </c>
      <c r="C50" s="13" t="s">
        <v>194</v>
      </c>
      <c r="E50" s="13">
        <v>51490</v>
      </c>
      <c r="G50" s="3">
        <v>0</v>
      </c>
      <c r="H50" s="3"/>
      <c r="I50" s="3">
        <v>102200</v>
      </c>
      <c r="J50" s="3"/>
      <c r="K50" s="3">
        <v>0</v>
      </c>
      <c r="L50" s="3"/>
      <c r="M50" s="3">
        <v>3150000</v>
      </c>
      <c r="N50" s="3"/>
      <c r="O50" s="3">
        <v>516818</v>
      </c>
      <c r="P50" s="3"/>
      <c r="Q50" s="3">
        <v>0</v>
      </c>
      <c r="R50" s="3"/>
      <c r="S50" s="14">
        <f t="shared" si="0"/>
        <v>3769018</v>
      </c>
      <c r="T50" s="3"/>
      <c r="U50" s="3">
        <v>154851</v>
      </c>
      <c r="V50" s="3"/>
      <c r="W50" s="3">
        <f>'St of Net Assets'!M50-U50</f>
        <v>0</v>
      </c>
    </row>
    <row r="51" spans="1:23">
      <c r="A51" s="3" t="s">
        <v>207</v>
      </c>
      <c r="C51" s="13" t="s">
        <v>152</v>
      </c>
      <c r="E51" s="13">
        <v>50799</v>
      </c>
      <c r="G51" s="3">
        <v>0</v>
      </c>
      <c r="H51" s="3"/>
      <c r="I51" s="3">
        <v>266669</v>
      </c>
      <c r="J51" s="3"/>
      <c r="K51" s="3">
        <v>0</v>
      </c>
      <c r="L51" s="3"/>
      <c r="M51" s="3">
        <v>2760619</v>
      </c>
      <c r="N51" s="3"/>
      <c r="O51" s="3">
        <v>343611</v>
      </c>
      <c r="P51" s="3"/>
      <c r="Q51" s="3">
        <v>0</v>
      </c>
      <c r="R51" s="3"/>
      <c r="S51" s="14">
        <f t="shared" si="0"/>
        <v>3370899</v>
      </c>
      <c r="T51" s="3"/>
      <c r="U51" s="3">
        <v>235869</v>
      </c>
      <c r="V51" s="3"/>
      <c r="W51" s="3">
        <f>'St of Net Assets'!M51-U51</f>
        <v>0</v>
      </c>
    </row>
    <row r="52" spans="1:23">
      <c r="A52" s="3" t="s">
        <v>374</v>
      </c>
      <c r="C52" s="13" t="s">
        <v>154</v>
      </c>
      <c r="E52" s="13">
        <v>51532</v>
      </c>
      <c r="G52" s="3">
        <v>305000</v>
      </c>
      <c r="H52" s="3"/>
      <c r="I52" s="3">
        <v>0</v>
      </c>
      <c r="J52" s="3"/>
      <c r="K52" s="3">
        <v>0</v>
      </c>
      <c r="L52" s="3"/>
      <c r="M52" s="3">
        <v>2468740</v>
      </c>
      <c r="N52" s="3"/>
      <c r="O52" s="3">
        <v>665002</v>
      </c>
      <c r="P52" s="3"/>
      <c r="Q52" s="3">
        <v>0</v>
      </c>
      <c r="R52" s="3"/>
      <c r="S52" s="14">
        <f t="shared" si="0"/>
        <v>3438742</v>
      </c>
      <c r="T52" s="3"/>
      <c r="U52" s="3">
        <v>487803</v>
      </c>
      <c r="V52" s="3"/>
      <c r="W52" s="3">
        <f>'St of Net Assets'!M52-U52</f>
        <v>0</v>
      </c>
    </row>
    <row r="53" spans="1:23">
      <c r="A53" s="3" t="s">
        <v>221</v>
      </c>
      <c r="C53" s="13" t="s">
        <v>197</v>
      </c>
      <c r="E53" s="13">
        <v>62026</v>
      </c>
      <c r="G53" s="3">
        <v>0</v>
      </c>
      <c r="H53" s="3"/>
      <c r="I53" s="3">
        <v>0</v>
      </c>
      <c r="J53" s="3"/>
      <c r="K53" s="3">
        <v>0</v>
      </c>
      <c r="L53" s="3"/>
      <c r="M53" s="3">
        <v>0</v>
      </c>
      <c r="N53" s="3"/>
      <c r="O53" s="3">
        <v>969905</v>
      </c>
      <c r="P53" s="3"/>
      <c r="Q53" s="3">
        <v>0</v>
      </c>
      <c r="R53" s="3"/>
      <c r="S53" s="14">
        <f t="shared" si="0"/>
        <v>969905</v>
      </c>
      <c r="T53" s="3"/>
      <c r="U53" s="3">
        <v>172397</v>
      </c>
      <c r="V53" s="3"/>
      <c r="W53" s="3">
        <f>'St of Net Assets'!M53-U53</f>
        <v>0</v>
      </c>
    </row>
    <row r="54" spans="1:23">
      <c r="A54" s="3" t="s">
        <v>277</v>
      </c>
      <c r="C54" s="13" t="s">
        <v>216</v>
      </c>
      <c r="E54" s="13">
        <v>63511</v>
      </c>
      <c r="G54" s="3">
        <f>4165000+93007</f>
        <v>4258007</v>
      </c>
      <c r="H54" s="3"/>
      <c r="I54" s="3">
        <v>0</v>
      </c>
      <c r="J54" s="3"/>
      <c r="K54" s="3">
        <v>0</v>
      </c>
      <c r="L54" s="3"/>
      <c r="M54" s="3">
        <v>121999</v>
      </c>
      <c r="N54" s="3"/>
      <c r="O54" s="3">
        <v>498672</v>
      </c>
      <c r="P54" s="3"/>
      <c r="Q54" s="3">
        <v>0</v>
      </c>
      <c r="R54" s="3"/>
      <c r="S54" s="14">
        <f t="shared" si="0"/>
        <v>4878678</v>
      </c>
      <c r="T54" s="3"/>
      <c r="U54" s="3">
        <v>873143</v>
      </c>
      <c r="V54" s="3"/>
      <c r="W54" s="3">
        <f>'St of Net Assets'!M54-U54</f>
        <v>0</v>
      </c>
    </row>
    <row r="55" spans="1:23">
      <c r="A55" s="3" t="s">
        <v>290</v>
      </c>
      <c r="C55" s="13" t="s">
        <v>147</v>
      </c>
      <c r="E55" s="13">
        <v>51607</v>
      </c>
      <c r="G55" s="3">
        <v>0</v>
      </c>
      <c r="H55" s="3"/>
      <c r="I55" s="3">
        <v>0</v>
      </c>
      <c r="J55" s="3"/>
      <c r="K55" s="3">
        <v>0</v>
      </c>
      <c r="L55" s="3"/>
      <c r="M55" s="3">
        <v>0</v>
      </c>
      <c r="N55" s="3"/>
      <c r="O55" s="3">
        <v>482919</v>
      </c>
      <c r="P55" s="3"/>
      <c r="Q55" s="3">
        <v>0</v>
      </c>
      <c r="R55" s="3"/>
      <c r="S55" s="14">
        <f t="shared" si="0"/>
        <v>482919</v>
      </c>
      <c r="T55" s="3"/>
      <c r="U55" s="3">
        <v>64977</v>
      </c>
      <c r="V55" s="3"/>
      <c r="W55" s="3">
        <f>'St of Net Assets'!M55-U55</f>
        <v>0</v>
      </c>
    </row>
    <row r="56" spans="1:23">
      <c r="A56" s="3" t="s">
        <v>217</v>
      </c>
      <c r="C56" s="13" t="s">
        <v>218</v>
      </c>
      <c r="E56" s="13">
        <v>65268</v>
      </c>
      <c r="G56" s="3">
        <v>0</v>
      </c>
      <c r="H56" s="3"/>
      <c r="I56" s="3">
        <v>22016</v>
      </c>
      <c r="J56" s="3"/>
      <c r="K56" s="3">
        <v>0</v>
      </c>
      <c r="L56" s="3"/>
      <c r="M56" s="3">
        <v>244426</v>
      </c>
      <c r="N56" s="3"/>
      <c r="O56" s="3">
        <v>316541</v>
      </c>
      <c r="P56" s="3"/>
      <c r="Q56" s="3">
        <v>0</v>
      </c>
      <c r="R56" s="3"/>
      <c r="S56" s="14">
        <f t="shared" si="0"/>
        <v>582983</v>
      </c>
      <c r="T56" s="3"/>
      <c r="U56" s="3">
        <v>109970</v>
      </c>
      <c r="V56" s="3"/>
      <c r="W56" s="3">
        <f>'St of Net Assets'!M56-U56</f>
        <v>0</v>
      </c>
    </row>
    <row r="57" spans="1:23">
      <c r="A57" s="3" t="s">
        <v>375</v>
      </c>
      <c r="C57" s="13" t="s">
        <v>199</v>
      </c>
      <c r="E57" s="13">
        <v>51631</v>
      </c>
      <c r="G57" s="3">
        <v>0</v>
      </c>
      <c r="H57" s="3"/>
      <c r="I57" s="3">
        <v>0</v>
      </c>
      <c r="J57" s="3"/>
      <c r="K57" s="3">
        <v>0</v>
      </c>
      <c r="L57" s="3"/>
      <c r="M57" s="3">
        <v>5421000</v>
      </c>
      <c r="N57" s="3"/>
      <c r="O57" s="3">
        <v>1785488</v>
      </c>
      <c r="P57" s="3"/>
      <c r="Q57" s="3">
        <v>0</v>
      </c>
      <c r="R57" s="3"/>
      <c r="S57" s="14">
        <f t="shared" si="0"/>
        <v>7206488</v>
      </c>
      <c r="T57" s="3"/>
      <c r="U57" s="3">
        <v>541390</v>
      </c>
      <c r="V57" s="3"/>
      <c r="W57" s="3">
        <f>'St of Net Assets'!M57-U57</f>
        <v>0</v>
      </c>
    </row>
    <row r="58" spans="1:23">
      <c r="A58" s="3" t="s">
        <v>208</v>
      </c>
      <c r="C58" s="13" t="s">
        <v>156</v>
      </c>
      <c r="E58" s="13">
        <v>62802</v>
      </c>
      <c r="G58" s="3">
        <v>0</v>
      </c>
      <c r="H58" s="3"/>
      <c r="I58" s="3">
        <v>0</v>
      </c>
      <c r="J58" s="3"/>
      <c r="K58" s="3">
        <v>0</v>
      </c>
      <c r="L58" s="3"/>
      <c r="M58" s="3">
        <v>0</v>
      </c>
      <c r="N58" s="3"/>
      <c r="O58" s="3">
        <v>586617</v>
      </c>
      <c r="P58" s="3"/>
      <c r="Q58" s="3">
        <v>0</v>
      </c>
      <c r="R58" s="3"/>
      <c r="S58" s="14">
        <f t="shared" si="0"/>
        <v>586617</v>
      </c>
      <c r="T58" s="3"/>
      <c r="U58" s="3">
        <v>141359</v>
      </c>
      <c r="V58" s="3"/>
      <c r="W58" s="3">
        <f>'St of Net Assets'!M58-U58</f>
        <v>0</v>
      </c>
    </row>
    <row r="59" spans="1:23">
      <c r="A59" s="3" t="s">
        <v>363</v>
      </c>
      <c r="C59" s="13" t="s">
        <v>182</v>
      </c>
      <c r="E59" s="13">
        <v>62125</v>
      </c>
      <c r="G59" s="3">
        <f>5815000+75712</f>
        <v>5890712</v>
      </c>
      <c r="H59" s="3"/>
      <c r="I59" s="3">
        <v>0</v>
      </c>
      <c r="J59" s="3"/>
      <c r="K59" s="3">
        <v>0</v>
      </c>
      <c r="L59" s="3"/>
      <c r="M59" s="3">
        <v>0</v>
      </c>
      <c r="N59" s="3"/>
      <c r="O59" s="3">
        <v>1156570</v>
      </c>
      <c r="P59" s="3"/>
      <c r="Q59" s="3">
        <v>0</v>
      </c>
      <c r="R59" s="3"/>
      <c r="S59" s="14">
        <f t="shared" si="0"/>
        <v>7047282</v>
      </c>
      <c r="T59" s="3"/>
      <c r="U59" s="3">
        <v>857541</v>
      </c>
      <c r="V59" s="3"/>
      <c r="W59" s="3">
        <f>'St of Net Assets'!M59-U59</f>
        <v>0</v>
      </c>
    </row>
    <row r="60" spans="1:23">
      <c r="A60" s="3" t="s">
        <v>253</v>
      </c>
      <c r="C60" s="13" t="s">
        <v>193</v>
      </c>
      <c r="E60" s="13">
        <v>51458</v>
      </c>
      <c r="G60" s="3">
        <v>5105000</v>
      </c>
      <c r="H60" s="3"/>
      <c r="I60" s="3">
        <v>0</v>
      </c>
      <c r="J60" s="3"/>
      <c r="K60" s="3">
        <v>0</v>
      </c>
      <c r="L60" s="3"/>
      <c r="M60" s="3">
        <v>0</v>
      </c>
      <c r="N60" s="3"/>
      <c r="O60" s="3">
        <v>1060736</v>
      </c>
      <c r="P60" s="3"/>
      <c r="Q60" s="3">
        <v>0</v>
      </c>
      <c r="R60" s="3"/>
      <c r="S60" s="14">
        <f t="shared" si="0"/>
        <v>6165736</v>
      </c>
      <c r="T60" s="3"/>
      <c r="U60" s="3">
        <v>487543</v>
      </c>
      <c r="V60" s="3"/>
      <c r="W60" s="3">
        <f>'St of Net Assets'!M60-U60</f>
        <v>0</v>
      </c>
    </row>
    <row r="61" spans="1:23">
      <c r="A61" s="3" t="s">
        <v>254</v>
      </c>
      <c r="C61" s="13" t="s">
        <v>202</v>
      </c>
      <c r="E61" s="13">
        <v>51672</v>
      </c>
      <c r="G61" s="3">
        <f>16915000+254675</f>
        <v>17169675</v>
      </c>
      <c r="H61" s="3"/>
      <c r="I61" s="3">
        <v>0</v>
      </c>
      <c r="J61" s="3"/>
      <c r="K61" s="3">
        <v>0</v>
      </c>
      <c r="L61" s="3"/>
      <c r="M61" s="3">
        <v>33819</v>
      </c>
      <c r="N61" s="3"/>
      <c r="O61" s="3">
        <v>437086</v>
      </c>
      <c r="P61" s="3"/>
      <c r="Q61" s="3">
        <v>0</v>
      </c>
      <c r="R61" s="3"/>
      <c r="S61" s="14">
        <f t="shared" si="0"/>
        <v>17640580</v>
      </c>
      <c r="T61" s="3"/>
      <c r="U61" s="3">
        <v>609776</v>
      </c>
      <c r="V61" s="3"/>
      <c r="W61" s="3">
        <f>'St of Net Assets'!M61-U61</f>
        <v>0</v>
      </c>
    </row>
    <row r="62" spans="1:23">
      <c r="A62" s="3" t="s">
        <v>360</v>
      </c>
      <c r="C62" s="13" t="s">
        <v>203</v>
      </c>
      <c r="E62" s="13">
        <v>51474</v>
      </c>
      <c r="G62" s="3">
        <v>0</v>
      </c>
      <c r="H62" s="3"/>
      <c r="I62" s="3">
        <v>0</v>
      </c>
      <c r="J62" s="3"/>
      <c r="K62" s="3">
        <f>5815000+44606+810000</f>
        <v>6669606</v>
      </c>
      <c r="L62" s="3"/>
      <c r="M62" s="3">
        <v>115975</v>
      </c>
      <c r="N62" s="3"/>
      <c r="O62" s="3">
        <v>341983</v>
      </c>
      <c r="P62" s="3"/>
      <c r="Q62" s="3">
        <v>0</v>
      </c>
      <c r="R62" s="3"/>
      <c r="S62" s="14">
        <f t="shared" si="0"/>
        <v>7127564</v>
      </c>
      <c r="T62" s="3"/>
      <c r="U62" s="3">
        <v>690051</v>
      </c>
      <c r="V62" s="3"/>
      <c r="W62" s="3">
        <f>'St of Net Assets'!M62-U62</f>
        <v>0</v>
      </c>
    </row>
    <row r="63" spans="1:23">
      <c r="A63" s="3" t="s">
        <v>267</v>
      </c>
      <c r="C63" s="13" t="s">
        <v>204</v>
      </c>
      <c r="E63" s="13">
        <v>51698</v>
      </c>
      <c r="G63" s="3">
        <v>1225000</v>
      </c>
      <c r="H63" s="3"/>
      <c r="I63" s="3">
        <v>0</v>
      </c>
      <c r="J63" s="3"/>
      <c r="K63" s="3">
        <v>250000</v>
      </c>
      <c r="L63" s="3"/>
      <c r="M63" s="3">
        <v>900398</v>
      </c>
      <c r="N63" s="3"/>
      <c r="O63" s="3">
        <v>481455</v>
      </c>
      <c r="P63" s="3"/>
      <c r="Q63" s="3">
        <v>0</v>
      </c>
      <c r="R63" s="3"/>
      <c r="S63" s="14">
        <f t="shared" si="0"/>
        <v>2856853</v>
      </c>
      <c r="T63" s="3"/>
      <c r="U63" s="3">
        <v>132687</v>
      </c>
      <c r="V63" s="3"/>
      <c r="W63" s="3">
        <f>'St of Net Assets'!M63-U63</f>
        <v>0</v>
      </c>
    </row>
    <row r="64" spans="1:23">
      <c r="A64" s="3" t="s">
        <v>361</v>
      </c>
      <c r="C64" s="13" t="s">
        <v>205</v>
      </c>
      <c r="E64" s="13">
        <v>51714</v>
      </c>
      <c r="G64" s="3">
        <v>0</v>
      </c>
      <c r="H64" s="3"/>
      <c r="I64" s="3">
        <v>0</v>
      </c>
      <c r="J64" s="3"/>
      <c r="K64" s="3">
        <v>0</v>
      </c>
      <c r="L64" s="3"/>
      <c r="M64" s="3">
        <v>6425000</v>
      </c>
      <c r="N64" s="3"/>
      <c r="O64" s="3">
        <v>737386</v>
      </c>
      <c r="P64" s="3"/>
      <c r="Q64" s="3">
        <v>0</v>
      </c>
      <c r="R64" s="3"/>
      <c r="S64" s="14">
        <f t="shared" si="0"/>
        <v>7162386</v>
      </c>
      <c r="T64" s="3"/>
      <c r="U64" s="3">
        <v>1044790</v>
      </c>
      <c r="V64" s="3"/>
      <c r="W64" s="3">
        <f>'St of Net Assets'!M64-U64</f>
        <v>0</v>
      </c>
    </row>
    <row r="65" spans="1:24">
      <c r="A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14"/>
      <c r="T65" s="3"/>
      <c r="U65" s="3"/>
      <c r="V65" s="3"/>
      <c r="W65" s="3"/>
    </row>
    <row r="66" spans="1:24">
      <c r="A66" s="3"/>
      <c r="C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4" t="s">
        <v>257</v>
      </c>
      <c r="V66" s="3"/>
      <c r="W66" s="3"/>
    </row>
    <row r="67" spans="1:24">
      <c r="A67" s="31" t="s">
        <v>256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4">
      <c r="A68" s="31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4" s="17" customFormat="1" hidden="1">
      <c r="A69" s="3" t="s">
        <v>333</v>
      </c>
      <c r="B69" s="3"/>
      <c r="C69" s="3" t="s">
        <v>263</v>
      </c>
      <c r="E69" s="56">
        <v>45740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4">
        <f>SUM(G69:R69)</f>
        <v>0</v>
      </c>
      <c r="T69" s="3"/>
      <c r="U69" s="3"/>
      <c r="V69" s="3"/>
      <c r="W69" s="3">
        <f>'St of Net Assets'!M69-U69</f>
        <v>0</v>
      </c>
    </row>
    <row r="70" spans="1:24" s="17" customFormat="1" hidden="1">
      <c r="A70" s="3" t="s">
        <v>334</v>
      </c>
      <c r="B70" s="3"/>
      <c r="C70" s="3" t="s">
        <v>146</v>
      </c>
      <c r="E70" s="56">
        <v>45849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4">
        <v>0</v>
      </c>
      <c r="T70" s="3"/>
      <c r="U70" s="3"/>
      <c r="V70" s="3"/>
      <c r="W70" s="3">
        <f>'St of Net Assets'!M70-U70</f>
        <v>0</v>
      </c>
      <c r="X70" s="13"/>
    </row>
    <row r="71" spans="1:24">
      <c r="A71" s="3" t="s">
        <v>150</v>
      </c>
      <c r="C71" s="13" t="s">
        <v>147</v>
      </c>
      <c r="E71" s="13">
        <v>135145</v>
      </c>
      <c r="G71" s="17">
        <v>0</v>
      </c>
      <c r="H71" s="17"/>
      <c r="I71" s="17">
        <v>0</v>
      </c>
      <c r="J71" s="17"/>
      <c r="K71" s="17">
        <v>0</v>
      </c>
      <c r="L71" s="17"/>
      <c r="M71" s="17">
        <v>0</v>
      </c>
      <c r="N71" s="17"/>
      <c r="O71" s="17">
        <v>141643</v>
      </c>
      <c r="P71" s="17"/>
      <c r="Q71" s="17">
        <v>0</v>
      </c>
      <c r="R71" s="17"/>
      <c r="S71" s="60">
        <f>SUM(G71:R71)</f>
        <v>141643</v>
      </c>
      <c r="T71" s="17"/>
      <c r="U71" s="17">
        <v>19563</v>
      </c>
      <c r="V71" s="3"/>
      <c r="W71" s="3">
        <f>'St of Net Assets'!M71-U71</f>
        <v>0</v>
      </c>
    </row>
    <row r="72" spans="1:24" hidden="1">
      <c r="A72" s="3" t="s">
        <v>335</v>
      </c>
      <c r="B72" s="3"/>
      <c r="C72" s="3" t="s">
        <v>264</v>
      </c>
      <c r="E72" s="13">
        <v>45930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4">
        <f>SUM(G72:R72)</f>
        <v>0</v>
      </c>
      <c r="T72" s="3"/>
      <c r="U72" s="3"/>
      <c r="V72" s="3"/>
      <c r="W72" s="3">
        <f>'St of Net Assets'!M72-U72</f>
        <v>0</v>
      </c>
    </row>
    <row r="73" spans="1:24">
      <c r="A73" s="13" t="s">
        <v>291</v>
      </c>
      <c r="C73" s="13" t="s">
        <v>152</v>
      </c>
      <c r="E73" s="13">
        <v>46029</v>
      </c>
      <c r="G73" s="3">
        <v>0</v>
      </c>
      <c r="H73" s="3"/>
      <c r="I73" s="3">
        <v>0</v>
      </c>
      <c r="J73" s="3"/>
      <c r="K73" s="3">
        <v>0</v>
      </c>
      <c r="L73" s="3"/>
      <c r="M73" s="3">
        <v>0</v>
      </c>
      <c r="N73" s="3"/>
      <c r="O73" s="3">
        <v>207030</v>
      </c>
      <c r="P73" s="3"/>
      <c r="Q73" s="3">
        <v>0</v>
      </c>
      <c r="R73" s="3"/>
      <c r="S73" s="14">
        <f>SUM(G73:R73)</f>
        <v>207030</v>
      </c>
      <c r="T73" s="3"/>
      <c r="U73" s="3">
        <v>41562</v>
      </c>
      <c r="V73" s="3"/>
      <c r="W73" s="3">
        <f>'St of Net Assets'!M73-U73</f>
        <v>0</v>
      </c>
    </row>
    <row r="74" spans="1:24">
      <c r="A74" s="13" t="s">
        <v>292</v>
      </c>
      <c r="C74" s="13" t="s">
        <v>149</v>
      </c>
      <c r="E74" s="13">
        <v>46086</v>
      </c>
      <c r="G74" s="3">
        <v>0</v>
      </c>
      <c r="H74" s="3"/>
      <c r="I74" s="3">
        <v>0</v>
      </c>
      <c r="J74" s="3"/>
      <c r="K74" s="3">
        <v>0</v>
      </c>
      <c r="L74" s="3"/>
      <c r="M74" s="3">
        <v>2783000</v>
      </c>
      <c r="N74" s="3"/>
      <c r="O74" s="3">
        <v>403837</v>
      </c>
      <c r="P74" s="3"/>
      <c r="Q74" s="3">
        <v>0</v>
      </c>
      <c r="R74" s="3"/>
      <c r="S74" s="14">
        <f t="shared" ref="S74:S130" si="1">SUM(G74:R74)</f>
        <v>3186837</v>
      </c>
      <c r="T74" s="3"/>
      <c r="U74" s="3">
        <v>161584</v>
      </c>
      <c r="V74" s="3"/>
      <c r="W74" s="3">
        <f>'St of Net Assets'!M74-U74</f>
        <v>0</v>
      </c>
    </row>
    <row r="75" spans="1:24">
      <c r="A75" s="13" t="s">
        <v>293</v>
      </c>
      <c r="C75" s="13" t="s">
        <v>154</v>
      </c>
      <c r="E75" s="13">
        <v>46227</v>
      </c>
      <c r="G75" s="3">
        <v>0</v>
      </c>
      <c r="H75" s="3"/>
      <c r="I75" s="3">
        <v>0</v>
      </c>
      <c r="J75" s="3"/>
      <c r="K75" s="3">
        <v>0</v>
      </c>
      <c r="L75" s="3"/>
      <c r="M75" s="3">
        <v>157276</v>
      </c>
      <c r="N75" s="3"/>
      <c r="O75" s="3">
        <v>174175</v>
      </c>
      <c r="P75" s="3"/>
      <c r="Q75" s="3">
        <v>0</v>
      </c>
      <c r="R75" s="3"/>
      <c r="S75" s="14">
        <f t="shared" si="1"/>
        <v>331451</v>
      </c>
      <c r="T75" s="3"/>
      <c r="U75" s="3">
        <v>103946</v>
      </c>
      <c r="V75" s="3"/>
      <c r="W75" s="3">
        <f>'St of Net Assets'!M75-U75</f>
        <v>0</v>
      </c>
    </row>
    <row r="76" spans="1:24">
      <c r="A76" s="3" t="s">
        <v>155</v>
      </c>
      <c r="C76" s="13" t="s">
        <v>156</v>
      </c>
      <c r="E76" s="13">
        <v>46292</v>
      </c>
      <c r="G76" s="3">
        <v>0</v>
      </c>
      <c r="H76" s="3"/>
      <c r="I76" s="3">
        <v>0</v>
      </c>
      <c r="J76" s="3"/>
      <c r="K76" s="3">
        <v>0</v>
      </c>
      <c r="L76" s="3"/>
      <c r="M76" s="3">
        <v>0</v>
      </c>
      <c r="N76" s="3"/>
      <c r="O76" s="3">
        <v>447906</v>
      </c>
      <c r="P76" s="3"/>
      <c r="Q76" s="3">
        <v>0</v>
      </c>
      <c r="R76" s="3"/>
      <c r="S76" s="14">
        <f t="shared" si="1"/>
        <v>447906</v>
      </c>
      <c r="T76" s="3"/>
      <c r="U76" s="3">
        <v>36698</v>
      </c>
      <c r="V76" s="3"/>
      <c r="W76" s="3">
        <f>'St of Net Assets'!M76-U76</f>
        <v>0</v>
      </c>
    </row>
    <row r="77" spans="1:24" hidden="1">
      <c r="A77" s="13" t="s">
        <v>281</v>
      </c>
      <c r="C77" s="13" t="s">
        <v>157</v>
      </c>
      <c r="E77" s="13">
        <v>46375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4">
        <f t="shared" si="1"/>
        <v>0</v>
      </c>
      <c r="T77" s="3"/>
      <c r="U77" s="3"/>
      <c r="V77" s="3"/>
      <c r="W77" s="3">
        <f>'St of Net Assets'!M77-U77</f>
        <v>0</v>
      </c>
    </row>
    <row r="78" spans="1:24">
      <c r="A78" s="13" t="s">
        <v>310</v>
      </c>
      <c r="C78" s="13" t="s">
        <v>158</v>
      </c>
      <c r="E78" s="13">
        <v>46417</v>
      </c>
      <c r="G78" s="3">
        <v>0</v>
      </c>
      <c r="H78" s="3"/>
      <c r="I78" s="3">
        <v>378286</v>
      </c>
      <c r="J78" s="3"/>
      <c r="K78" s="3">
        <v>0</v>
      </c>
      <c r="L78" s="3"/>
      <c r="M78" s="3">
        <v>99253</v>
      </c>
      <c r="N78" s="3"/>
      <c r="O78" s="3">
        <v>567136</v>
      </c>
      <c r="P78" s="3"/>
      <c r="Q78" s="3">
        <v>0</v>
      </c>
      <c r="R78" s="3"/>
      <c r="S78" s="14">
        <f t="shared" si="1"/>
        <v>1044675</v>
      </c>
      <c r="T78" s="3"/>
      <c r="U78" s="3">
        <v>207256</v>
      </c>
      <c r="V78" s="3"/>
      <c r="W78" s="3">
        <f>'St of Net Assets'!M78-U78</f>
        <v>0</v>
      </c>
    </row>
    <row r="79" spans="1:24">
      <c r="A79" s="3" t="s">
        <v>312</v>
      </c>
      <c r="C79" s="13" t="s">
        <v>159</v>
      </c>
      <c r="E79" s="13">
        <v>46532</v>
      </c>
      <c r="G79" s="3">
        <v>0</v>
      </c>
      <c r="H79" s="3"/>
      <c r="I79" s="3">
        <v>0</v>
      </c>
      <c r="J79" s="3"/>
      <c r="K79" s="3">
        <v>0</v>
      </c>
      <c r="L79" s="3"/>
      <c r="M79" s="3">
        <v>56358</v>
      </c>
      <c r="N79" s="3"/>
      <c r="O79" s="3">
        <v>2528063</v>
      </c>
      <c r="P79" s="3"/>
      <c r="Q79" s="3">
        <v>487000</v>
      </c>
      <c r="R79" s="3"/>
      <c r="S79" s="14">
        <f t="shared" si="1"/>
        <v>3071421</v>
      </c>
      <c r="T79" s="3"/>
      <c r="U79" s="3">
        <v>1827104</v>
      </c>
      <c r="V79" s="3"/>
      <c r="W79" s="3">
        <f>'St of Net Assets'!M79-U79</f>
        <v>0</v>
      </c>
    </row>
    <row r="80" spans="1:24" hidden="1">
      <c r="A80" s="3" t="s">
        <v>315</v>
      </c>
      <c r="C80" s="13" t="s">
        <v>160</v>
      </c>
      <c r="E80" s="13">
        <v>46615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4">
        <f t="shared" si="1"/>
        <v>0</v>
      </c>
      <c r="T80" s="3"/>
      <c r="U80" s="3"/>
      <c r="V80" s="3"/>
      <c r="W80" s="3">
        <f>'St of Net Assets'!M80-U80</f>
        <v>0</v>
      </c>
    </row>
    <row r="81" spans="1:23" hidden="1">
      <c r="A81" s="3" t="s">
        <v>311</v>
      </c>
      <c r="C81" s="13" t="s">
        <v>161</v>
      </c>
      <c r="E81" s="13">
        <v>46730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4">
        <f t="shared" si="1"/>
        <v>0</v>
      </c>
      <c r="T81" s="3"/>
      <c r="U81" s="3"/>
      <c r="V81" s="3"/>
      <c r="W81" s="3">
        <f>'St of Net Assets'!M81-U81</f>
        <v>0</v>
      </c>
    </row>
    <row r="82" spans="1:23">
      <c r="A82" s="3" t="s">
        <v>309</v>
      </c>
      <c r="C82" s="13" t="s">
        <v>200</v>
      </c>
      <c r="E82" s="13">
        <v>50260</v>
      </c>
      <c r="G82" s="3">
        <v>0</v>
      </c>
      <c r="H82" s="3"/>
      <c r="I82" s="3">
        <v>0</v>
      </c>
      <c r="J82" s="3"/>
      <c r="K82" s="3">
        <v>0</v>
      </c>
      <c r="L82" s="3"/>
      <c r="M82" s="3">
        <f>351394+83875</f>
        <v>435269</v>
      </c>
      <c r="N82" s="3"/>
      <c r="O82" s="3">
        <v>259723</v>
      </c>
      <c r="P82" s="3"/>
      <c r="Q82" s="3">
        <v>0</v>
      </c>
      <c r="R82" s="3"/>
      <c r="S82" s="14">
        <f t="shared" si="1"/>
        <v>694992</v>
      </c>
      <c r="T82" s="3"/>
      <c r="U82" s="3">
        <v>155964</v>
      </c>
      <c r="V82" s="3"/>
      <c r="W82" s="3">
        <f>'St of Net Assets'!M82-U82</f>
        <v>0</v>
      </c>
    </row>
    <row r="83" spans="1:23">
      <c r="A83" s="3" t="s">
        <v>318</v>
      </c>
      <c r="C83" s="13" t="s">
        <v>164</v>
      </c>
      <c r="E83" s="13">
        <v>46938</v>
      </c>
      <c r="G83" s="3">
        <v>0</v>
      </c>
      <c r="H83" s="3"/>
      <c r="I83" s="3">
        <v>0</v>
      </c>
      <c r="J83" s="3"/>
      <c r="K83" s="3">
        <v>0</v>
      </c>
      <c r="L83" s="3"/>
      <c r="M83" s="3">
        <f>112503+2573000</f>
        <v>2685503</v>
      </c>
      <c r="N83" s="3"/>
      <c r="O83" s="3">
        <v>1935625</v>
      </c>
      <c r="P83" s="3"/>
      <c r="Q83" s="3">
        <v>0</v>
      </c>
      <c r="R83" s="3"/>
      <c r="S83" s="14">
        <f>SUM(G83:R83)</f>
        <v>4621128</v>
      </c>
      <c r="T83" s="3"/>
      <c r="U83" s="3">
        <v>853833</v>
      </c>
      <c r="V83" s="3"/>
      <c r="W83" s="3">
        <f>'St of Net Assets'!M83-U83</f>
        <v>0</v>
      </c>
    </row>
    <row r="84" spans="1:23" hidden="1">
      <c r="A84" s="13" t="s">
        <v>279</v>
      </c>
      <c r="C84" s="13" t="s">
        <v>162</v>
      </c>
      <c r="E84" s="13">
        <v>125690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4">
        <f t="shared" si="1"/>
        <v>0</v>
      </c>
      <c r="T84" s="3"/>
      <c r="U84" s="3"/>
      <c r="V84" s="3"/>
      <c r="W84" s="3">
        <f>'St of Net Assets'!M84-U84</f>
        <v>0</v>
      </c>
    </row>
    <row r="85" spans="1:23">
      <c r="A85" s="3" t="s">
        <v>320</v>
      </c>
      <c r="C85" s="13" t="s">
        <v>163</v>
      </c>
      <c r="E85" s="13">
        <v>46839</v>
      </c>
      <c r="G85" s="3">
        <v>0</v>
      </c>
      <c r="H85" s="3"/>
      <c r="I85" s="3">
        <v>0</v>
      </c>
      <c r="J85" s="3"/>
      <c r="K85" s="3">
        <v>0</v>
      </c>
      <c r="L85" s="3"/>
      <c r="M85" s="3">
        <v>11219</v>
      </c>
      <c r="N85" s="3"/>
      <c r="O85" s="3">
        <v>400026</v>
      </c>
      <c r="P85" s="3"/>
      <c r="Q85" s="3">
        <v>0</v>
      </c>
      <c r="R85" s="3"/>
      <c r="S85" s="14">
        <f t="shared" si="1"/>
        <v>411245</v>
      </c>
      <c r="T85" s="3"/>
      <c r="U85" s="3">
        <v>83041</v>
      </c>
      <c r="V85" s="3"/>
      <c r="W85" s="3">
        <f>'St of Net Assets'!M85-U85</f>
        <v>0</v>
      </c>
    </row>
    <row r="86" spans="1:23">
      <c r="A86" s="3" t="s">
        <v>166</v>
      </c>
      <c r="C86" s="13" t="s">
        <v>167</v>
      </c>
      <c r="E86" s="13">
        <v>125682</v>
      </c>
      <c r="G86" s="3">
        <v>0</v>
      </c>
      <c r="H86" s="3"/>
      <c r="I86" s="3">
        <v>0</v>
      </c>
      <c r="J86" s="3"/>
      <c r="K86" s="3">
        <v>0</v>
      </c>
      <c r="L86" s="3"/>
      <c r="M86" s="3">
        <v>0</v>
      </c>
      <c r="N86" s="3"/>
      <c r="O86" s="3">
        <v>37500</v>
      </c>
      <c r="P86" s="3"/>
      <c r="Q86" s="3">
        <v>0</v>
      </c>
      <c r="R86" s="3"/>
      <c r="S86" s="14">
        <f t="shared" si="1"/>
        <v>37500</v>
      </c>
      <c r="T86" s="3"/>
      <c r="U86" s="3">
        <v>37500</v>
      </c>
      <c r="V86" s="3"/>
      <c r="W86" s="3">
        <f>'St of Net Assets'!M86-U86</f>
        <v>0</v>
      </c>
    </row>
    <row r="87" spans="1:23">
      <c r="A87" s="61" t="s">
        <v>319</v>
      </c>
      <c r="C87" s="13" t="s">
        <v>168</v>
      </c>
      <c r="E87" s="13">
        <v>47159</v>
      </c>
      <c r="G87" s="3">
        <v>0</v>
      </c>
      <c r="H87" s="3"/>
      <c r="I87" s="3">
        <v>0</v>
      </c>
      <c r="J87" s="3"/>
      <c r="K87" s="3">
        <v>0</v>
      </c>
      <c r="L87" s="3"/>
      <c r="M87" s="3">
        <v>0</v>
      </c>
      <c r="N87" s="3"/>
      <c r="O87" s="3">
        <v>337538</v>
      </c>
      <c r="P87" s="3"/>
      <c r="Q87" s="3">
        <v>0</v>
      </c>
      <c r="R87" s="3"/>
      <c r="S87" s="14">
        <f t="shared" si="1"/>
        <v>337538</v>
      </c>
      <c r="T87" s="3"/>
      <c r="U87" s="3">
        <v>38917</v>
      </c>
      <c r="V87" s="3"/>
      <c r="W87" s="3">
        <f>'St of Net Assets'!M87-U87</f>
        <v>0</v>
      </c>
    </row>
    <row r="88" spans="1:23">
      <c r="A88" s="13" t="s">
        <v>296</v>
      </c>
      <c r="C88" s="13" t="s">
        <v>169</v>
      </c>
      <c r="E88" s="13">
        <v>47233</v>
      </c>
      <c r="G88" s="3">
        <v>0</v>
      </c>
      <c r="H88" s="3"/>
      <c r="I88" s="3">
        <v>0</v>
      </c>
      <c r="J88" s="3"/>
      <c r="K88" s="3">
        <v>0</v>
      </c>
      <c r="L88" s="3"/>
      <c r="M88" s="3">
        <v>0</v>
      </c>
      <c r="N88" s="3"/>
      <c r="O88" s="3">
        <v>846324</v>
      </c>
      <c r="P88" s="3"/>
      <c r="Q88" s="3">
        <v>0</v>
      </c>
      <c r="R88" s="3"/>
      <c r="S88" s="14">
        <f t="shared" si="1"/>
        <v>846324</v>
      </c>
      <c r="T88" s="3"/>
      <c r="U88" s="3">
        <v>75236</v>
      </c>
      <c r="V88" s="3"/>
      <c r="W88" s="3">
        <f>'St of Net Assets'!M88-U88</f>
        <v>0</v>
      </c>
    </row>
    <row r="89" spans="1:23">
      <c r="A89" s="13" t="s">
        <v>297</v>
      </c>
      <c r="C89" s="13" t="s">
        <v>170</v>
      </c>
      <c r="E89" s="13">
        <v>47324</v>
      </c>
      <c r="G89" s="3">
        <v>0</v>
      </c>
      <c r="H89" s="3"/>
      <c r="I89" s="3">
        <v>0</v>
      </c>
      <c r="J89" s="3"/>
      <c r="K89" s="3">
        <v>0</v>
      </c>
      <c r="L89" s="3"/>
      <c r="M89" s="3">
        <v>2136000</v>
      </c>
      <c r="N89" s="3"/>
      <c r="O89" s="3">
        <v>4304079</v>
      </c>
      <c r="P89" s="3"/>
      <c r="Q89" s="3">
        <v>0</v>
      </c>
      <c r="R89" s="3"/>
      <c r="S89" s="14">
        <f t="shared" si="1"/>
        <v>6440079</v>
      </c>
      <c r="T89" s="3"/>
      <c r="U89" s="3">
        <v>557030</v>
      </c>
      <c r="V89" s="3"/>
      <c r="W89" s="3">
        <f>'St of Net Assets'!M89-U89</f>
        <v>0</v>
      </c>
    </row>
    <row r="90" spans="1:23">
      <c r="A90" s="13" t="s">
        <v>298</v>
      </c>
      <c r="C90" s="13" t="s">
        <v>171</v>
      </c>
      <c r="E90" s="13">
        <v>47407</v>
      </c>
      <c r="G90" s="3">
        <v>0</v>
      </c>
      <c r="H90" s="3"/>
      <c r="I90" s="3">
        <v>0</v>
      </c>
      <c r="J90" s="3"/>
      <c r="K90" s="3">
        <v>0</v>
      </c>
      <c r="L90" s="3"/>
      <c r="M90" s="3">
        <v>0</v>
      </c>
      <c r="N90" s="3"/>
      <c r="O90" s="3">
        <v>351487</v>
      </c>
      <c r="P90" s="3"/>
      <c r="Q90" s="3">
        <v>0</v>
      </c>
      <c r="R90" s="3"/>
      <c r="S90" s="14">
        <f t="shared" si="1"/>
        <v>351487</v>
      </c>
      <c r="T90" s="3"/>
      <c r="U90" s="3">
        <v>26099</v>
      </c>
      <c r="V90" s="3"/>
      <c r="W90" s="3">
        <f>'St of Net Assets'!M90-U90</f>
        <v>0</v>
      </c>
    </row>
    <row r="91" spans="1:23" hidden="1">
      <c r="A91" s="13" t="s">
        <v>357</v>
      </c>
      <c r="C91" s="13" t="s">
        <v>21</v>
      </c>
      <c r="E91" s="13">
        <v>47480</v>
      </c>
      <c r="G91" s="3">
        <v>0</v>
      </c>
      <c r="H91" s="3"/>
      <c r="I91" s="3">
        <v>0</v>
      </c>
      <c r="J91" s="3"/>
      <c r="K91" s="3">
        <v>0</v>
      </c>
      <c r="L91" s="3"/>
      <c r="M91" s="3">
        <v>0</v>
      </c>
      <c r="N91" s="3"/>
      <c r="O91" s="3">
        <v>0</v>
      </c>
      <c r="P91" s="3"/>
      <c r="Q91" s="3">
        <v>0</v>
      </c>
      <c r="R91" s="3"/>
      <c r="S91" s="14">
        <f t="shared" si="1"/>
        <v>0</v>
      </c>
      <c r="T91" s="3"/>
      <c r="U91" s="3"/>
      <c r="V91" s="3"/>
      <c r="W91" s="3">
        <f>'St of Net Assets'!M91-U91</f>
        <v>0</v>
      </c>
    </row>
    <row r="92" spans="1:23">
      <c r="A92" s="13" t="s">
        <v>299</v>
      </c>
      <c r="C92" s="13" t="s">
        <v>172</v>
      </c>
      <c r="E92" s="13">
        <v>47779</v>
      </c>
      <c r="G92" s="3">
        <v>0</v>
      </c>
      <c r="H92" s="3"/>
      <c r="I92" s="3">
        <v>0</v>
      </c>
      <c r="J92" s="3"/>
      <c r="K92" s="3">
        <v>0</v>
      </c>
      <c r="L92" s="3"/>
      <c r="M92" s="3">
        <v>8244</v>
      </c>
      <c r="N92" s="3"/>
      <c r="O92" s="3">
        <v>298491</v>
      </c>
      <c r="P92" s="3"/>
      <c r="Q92" s="3">
        <v>0</v>
      </c>
      <c r="R92" s="3"/>
      <c r="S92" s="14">
        <f t="shared" si="1"/>
        <v>306735</v>
      </c>
      <c r="T92" s="3"/>
      <c r="U92" s="3">
        <v>172053</v>
      </c>
      <c r="V92" s="3"/>
      <c r="W92" s="3">
        <f>'St of Net Assets'!M92-U92</f>
        <v>0</v>
      </c>
    </row>
    <row r="93" spans="1:23">
      <c r="A93" s="13" t="s">
        <v>300</v>
      </c>
      <c r="C93" s="13" t="s">
        <v>173</v>
      </c>
      <c r="E93" s="13">
        <v>47811</v>
      </c>
      <c r="G93" s="3">
        <v>0</v>
      </c>
      <c r="H93" s="3"/>
      <c r="I93" s="3">
        <v>0</v>
      </c>
      <c r="J93" s="3"/>
      <c r="K93" s="3">
        <v>0</v>
      </c>
      <c r="L93" s="3"/>
      <c r="M93" s="3">
        <v>0</v>
      </c>
      <c r="N93" s="3"/>
      <c r="O93" s="3">
        <v>95464</v>
      </c>
      <c r="P93" s="3"/>
      <c r="Q93" s="3">
        <v>0</v>
      </c>
      <c r="R93" s="3"/>
      <c r="S93" s="14">
        <f t="shared" si="1"/>
        <v>95464</v>
      </c>
      <c r="T93" s="3"/>
      <c r="U93" s="3">
        <v>19093</v>
      </c>
      <c r="V93" s="3"/>
      <c r="W93" s="3">
        <f>'St of Net Assets'!M93-U93</f>
        <v>0</v>
      </c>
    </row>
    <row r="94" spans="1:23">
      <c r="A94" s="13" t="s">
        <v>301</v>
      </c>
      <c r="C94" s="13" t="s">
        <v>148</v>
      </c>
      <c r="E94" s="13">
        <v>47860</v>
      </c>
      <c r="G94" s="3">
        <v>0</v>
      </c>
      <c r="H94" s="3"/>
      <c r="I94" s="3">
        <v>0</v>
      </c>
      <c r="J94" s="3"/>
      <c r="K94" s="3">
        <v>0</v>
      </c>
      <c r="L94" s="3"/>
      <c r="M94" s="3">
        <v>0</v>
      </c>
      <c r="N94" s="3"/>
      <c r="O94" s="3">
        <v>183277</v>
      </c>
      <c r="P94" s="3"/>
      <c r="Q94" s="3">
        <v>0</v>
      </c>
      <c r="R94" s="3"/>
      <c r="S94" s="14">
        <f t="shared" si="1"/>
        <v>183277</v>
      </c>
      <c r="T94" s="3"/>
      <c r="U94" s="3">
        <v>122905</v>
      </c>
      <c r="V94" s="3"/>
      <c r="W94" s="3">
        <f>'St of Net Assets'!M94-U94</f>
        <v>0</v>
      </c>
    </row>
    <row r="95" spans="1:23">
      <c r="A95" s="13" t="s">
        <v>302</v>
      </c>
      <c r="C95" s="13" t="s">
        <v>174</v>
      </c>
      <c r="E95" s="13">
        <v>47910</v>
      </c>
      <c r="G95" s="3">
        <v>0</v>
      </c>
      <c r="H95" s="3"/>
      <c r="I95" s="3">
        <v>0</v>
      </c>
      <c r="J95" s="3"/>
      <c r="K95" s="3">
        <v>0</v>
      </c>
      <c r="L95" s="3"/>
      <c r="M95" s="3">
        <v>0</v>
      </c>
      <c r="N95" s="3"/>
      <c r="O95" s="3">
        <v>127335</v>
      </c>
      <c r="P95" s="3"/>
      <c r="Q95" s="3">
        <v>0</v>
      </c>
      <c r="R95" s="3"/>
      <c r="S95" s="14">
        <f t="shared" si="1"/>
        <v>127335</v>
      </c>
      <c r="T95" s="3"/>
      <c r="U95" s="3">
        <v>21994</v>
      </c>
      <c r="V95" s="3"/>
      <c r="W95" s="3">
        <f>'St of Net Assets'!M95-U95</f>
        <v>0</v>
      </c>
    </row>
    <row r="96" spans="1:23">
      <c r="A96" s="3" t="s">
        <v>303</v>
      </c>
      <c r="B96" s="3"/>
      <c r="C96" s="3" t="s">
        <v>175</v>
      </c>
      <c r="E96" s="13">
        <v>47977</v>
      </c>
      <c r="G96" s="3">
        <v>0</v>
      </c>
      <c r="H96" s="3"/>
      <c r="I96" s="3">
        <v>0</v>
      </c>
      <c r="J96" s="3"/>
      <c r="K96" s="3">
        <v>0</v>
      </c>
      <c r="L96" s="3"/>
      <c r="M96" s="3">
        <v>54498</v>
      </c>
      <c r="N96" s="3"/>
      <c r="O96" s="3">
        <v>351998</v>
      </c>
      <c r="P96" s="3"/>
      <c r="Q96" s="3">
        <v>0</v>
      </c>
      <c r="R96" s="3"/>
      <c r="S96" s="14">
        <f t="shared" si="1"/>
        <v>406496</v>
      </c>
      <c r="T96" s="3"/>
      <c r="U96" s="3">
        <v>130284</v>
      </c>
      <c r="V96" s="3"/>
      <c r="W96" s="3">
        <f>'St of Net Assets'!M96-U96</f>
        <v>0</v>
      </c>
    </row>
    <row r="97" spans="1:23">
      <c r="A97" s="13" t="s">
        <v>304</v>
      </c>
      <c r="C97" s="13" t="s">
        <v>176</v>
      </c>
      <c r="E97" s="13">
        <v>48058</v>
      </c>
      <c r="G97" s="3">
        <v>0</v>
      </c>
      <c r="H97" s="3"/>
      <c r="I97" s="3">
        <v>0</v>
      </c>
      <c r="J97" s="3"/>
      <c r="K97" s="3">
        <v>0</v>
      </c>
      <c r="L97" s="3"/>
      <c r="M97" s="3">
        <v>0</v>
      </c>
      <c r="N97" s="3"/>
      <c r="O97" s="3">
        <v>87129</v>
      </c>
      <c r="P97" s="3"/>
      <c r="Q97" s="3">
        <v>0</v>
      </c>
      <c r="R97" s="3"/>
      <c r="S97" s="14">
        <f t="shared" si="1"/>
        <v>87129</v>
      </c>
      <c r="T97" s="3"/>
      <c r="U97" s="3">
        <v>23665</v>
      </c>
      <c r="V97" s="3"/>
      <c r="W97" s="3">
        <f>'St of Net Assets'!M97-U97</f>
        <v>0</v>
      </c>
    </row>
    <row r="98" spans="1:23">
      <c r="A98" s="13" t="s">
        <v>359</v>
      </c>
      <c r="C98" s="13" t="s">
        <v>144</v>
      </c>
      <c r="E98" s="13">
        <v>48108</v>
      </c>
      <c r="G98" s="3">
        <v>0</v>
      </c>
      <c r="H98" s="3"/>
      <c r="I98" s="3">
        <v>0</v>
      </c>
      <c r="J98" s="3"/>
      <c r="K98" s="3">
        <v>0</v>
      </c>
      <c r="L98" s="3"/>
      <c r="M98" s="3">
        <v>0</v>
      </c>
      <c r="N98" s="3"/>
      <c r="O98" s="3">
        <v>734365</v>
      </c>
      <c r="P98" s="3"/>
      <c r="Q98" s="3">
        <v>0</v>
      </c>
      <c r="R98" s="3"/>
      <c r="S98" s="14">
        <f t="shared" si="1"/>
        <v>734365</v>
      </c>
      <c r="T98" s="3"/>
      <c r="U98" s="3">
        <v>190809</v>
      </c>
      <c r="V98" s="3"/>
      <c r="W98" s="3">
        <f>'St of Net Assets'!M98-U98</f>
        <v>0</v>
      </c>
    </row>
    <row r="99" spans="1:23">
      <c r="A99" s="13" t="s">
        <v>358</v>
      </c>
      <c r="C99" s="13" t="s">
        <v>177</v>
      </c>
      <c r="E99" s="13">
        <v>48199</v>
      </c>
      <c r="G99" s="3">
        <v>0</v>
      </c>
      <c r="H99" s="3"/>
      <c r="I99" s="3">
        <v>0</v>
      </c>
      <c r="J99" s="3"/>
      <c r="K99" s="3">
        <v>0</v>
      </c>
      <c r="L99" s="3"/>
      <c r="M99" s="3">
        <v>5804</v>
      </c>
      <c r="N99" s="3"/>
      <c r="O99" s="3">
        <v>1751748</v>
      </c>
      <c r="P99" s="3"/>
      <c r="Q99" s="3">
        <v>0</v>
      </c>
      <c r="R99" s="3"/>
      <c r="S99" s="14">
        <f t="shared" si="1"/>
        <v>1757552</v>
      </c>
      <c r="T99" s="3"/>
      <c r="U99" s="3">
        <v>293713</v>
      </c>
      <c r="V99" s="3"/>
      <c r="W99" s="3">
        <f>'St of Net Assets'!M99-U99</f>
        <v>0</v>
      </c>
    </row>
    <row r="100" spans="1:23" hidden="1">
      <c r="A100" s="3" t="s">
        <v>322</v>
      </c>
      <c r="C100" s="13" t="s">
        <v>153</v>
      </c>
      <c r="E100" s="13">
        <v>137364</v>
      </c>
      <c r="G100" s="3">
        <v>0</v>
      </c>
      <c r="H100" s="3"/>
      <c r="I100" s="3">
        <v>0</v>
      </c>
      <c r="J100" s="3"/>
      <c r="K100" s="3">
        <v>0</v>
      </c>
      <c r="L100" s="3"/>
      <c r="M100" s="3">
        <v>0</v>
      </c>
      <c r="N100" s="3"/>
      <c r="O100" s="3">
        <v>0</v>
      </c>
      <c r="P100" s="3"/>
      <c r="Q100" s="3">
        <v>0</v>
      </c>
      <c r="R100" s="3"/>
      <c r="S100" s="14">
        <f t="shared" si="1"/>
        <v>0</v>
      </c>
      <c r="T100" s="3"/>
      <c r="U100" s="3">
        <v>0</v>
      </c>
      <c r="V100" s="3"/>
      <c r="W100" s="3">
        <f>'St of Net Assets'!M100-U100</f>
        <v>0</v>
      </c>
    </row>
    <row r="101" spans="1:23" ht="12" customHeight="1">
      <c r="A101" s="3" t="s">
        <v>323</v>
      </c>
      <c r="C101" s="13" t="s">
        <v>178</v>
      </c>
      <c r="E101" s="13">
        <v>48280</v>
      </c>
      <c r="G101" s="3">
        <v>0</v>
      </c>
      <c r="H101" s="3"/>
      <c r="I101" s="3">
        <v>0</v>
      </c>
      <c r="J101" s="3"/>
      <c r="K101" s="3">
        <v>0</v>
      </c>
      <c r="L101" s="3"/>
      <c r="M101" s="3">
        <v>0</v>
      </c>
      <c r="N101" s="3"/>
      <c r="O101" s="3">
        <v>682305</v>
      </c>
      <c r="P101" s="3"/>
      <c r="Q101" s="3">
        <v>0</v>
      </c>
      <c r="R101" s="3"/>
      <c r="S101" s="14">
        <f t="shared" si="1"/>
        <v>682305</v>
      </c>
      <c r="T101" s="3"/>
      <c r="U101" s="3">
        <v>208460</v>
      </c>
      <c r="V101" s="3"/>
      <c r="W101" s="3">
        <f>'St of Net Assets'!M101-U101</f>
        <v>0</v>
      </c>
    </row>
    <row r="102" spans="1:23">
      <c r="A102" s="3" t="s">
        <v>179</v>
      </c>
      <c r="C102" s="13" t="s">
        <v>180</v>
      </c>
      <c r="E102" s="13">
        <v>48454</v>
      </c>
      <c r="G102" s="3">
        <v>0</v>
      </c>
      <c r="H102" s="3"/>
      <c r="I102" s="3">
        <v>0</v>
      </c>
      <c r="J102" s="3"/>
      <c r="K102" s="3">
        <v>0</v>
      </c>
      <c r="L102" s="3"/>
      <c r="M102" s="3">
        <v>0</v>
      </c>
      <c r="N102" s="3"/>
      <c r="O102" s="3">
        <v>134642</v>
      </c>
      <c r="P102" s="3"/>
      <c r="Q102" s="3">
        <v>0</v>
      </c>
      <c r="R102" s="3"/>
      <c r="S102" s="14">
        <f t="shared" si="1"/>
        <v>134642</v>
      </c>
      <c r="T102" s="3"/>
      <c r="U102" s="3">
        <v>58435</v>
      </c>
      <c r="V102" s="3"/>
      <c r="W102" s="3">
        <f>'St of Net Assets'!M102-U102</f>
        <v>0</v>
      </c>
    </row>
    <row r="103" spans="1:23" hidden="1">
      <c r="A103" s="3" t="s">
        <v>324</v>
      </c>
      <c r="C103" s="13" t="s">
        <v>181</v>
      </c>
      <c r="E103" s="13">
        <v>48546</v>
      </c>
      <c r="G103" s="3">
        <v>0</v>
      </c>
      <c r="H103" s="3"/>
      <c r="I103" s="3">
        <v>0</v>
      </c>
      <c r="J103" s="3"/>
      <c r="K103" s="3">
        <v>0</v>
      </c>
      <c r="L103" s="3"/>
      <c r="M103" s="3">
        <v>0</v>
      </c>
      <c r="N103" s="3"/>
      <c r="O103" s="3">
        <v>0</v>
      </c>
      <c r="P103" s="3"/>
      <c r="Q103" s="3">
        <v>0</v>
      </c>
      <c r="R103" s="3"/>
      <c r="S103" s="14">
        <f t="shared" si="1"/>
        <v>0</v>
      </c>
      <c r="T103" s="3"/>
      <c r="U103" s="3">
        <v>0</v>
      </c>
      <c r="V103" s="3"/>
      <c r="W103" s="3">
        <f>'St of Net Assets'!M103-U103</f>
        <v>0</v>
      </c>
    </row>
    <row r="104" spans="1:23">
      <c r="A104" s="3" t="s">
        <v>325</v>
      </c>
      <c r="C104" s="13" t="s">
        <v>182</v>
      </c>
      <c r="E104" s="13">
        <v>48603</v>
      </c>
      <c r="G104" s="3">
        <v>0</v>
      </c>
      <c r="H104" s="3"/>
      <c r="I104" s="3">
        <v>0</v>
      </c>
      <c r="J104" s="3"/>
      <c r="K104" s="3">
        <v>0</v>
      </c>
      <c r="L104" s="3"/>
      <c r="M104" s="3">
        <v>26550</v>
      </c>
      <c r="N104" s="3"/>
      <c r="O104" s="3">
        <v>395286</v>
      </c>
      <c r="P104" s="3"/>
      <c r="Q104" s="3">
        <v>0</v>
      </c>
      <c r="R104" s="3"/>
      <c r="S104" s="14">
        <f t="shared" si="1"/>
        <v>421836</v>
      </c>
      <c r="T104" s="3"/>
      <c r="U104" s="3">
        <v>86316</v>
      </c>
      <c r="V104" s="3"/>
      <c r="W104" s="3">
        <f>'St of Net Assets'!M104-U104</f>
        <v>0</v>
      </c>
    </row>
    <row r="105" spans="1:23" hidden="1">
      <c r="A105" s="3" t="s">
        <v>280</v>
      </c>
      <c r="B105" s="3"/>
      <c r="C105" s="3" t="s">
        <v>191</v>
      </c>
      <c r="E105" s="13">
        <v>12351</v>
      </c>
      <c r="G105" s="3">
        <v>0</v>
      </c>
      <c r="H105" s="3"/>
      <c r="I105" s="3">
        <v>0</v>
      </c>
      <c r="J105" s="3"/>
      <c r="K105" s="3">
        <v>0</v>
      </c>
      <c r="L105" s="3"/>
      <c r="M105" s="3">
        <v>0</v>
      </c>
      <c r="N105" s="3"/>
      <c r="O105" s="3">
        <v>0</v>
      </c>
      <c r="P105" s="3"/>
      <c r="Q105" s="3">
        <v>0</v>
      </c>
      <c r="R105" s="3"/>
      <c r="S105" s="14">
        <f t="shared" si="1"/>
        <v>0</v>
      </c>
      <c r="T105" s="3"/>
      <c r="U105" s="3">
        <v>0</v>
      </c>
      <c r="V105" s="3"/>
      <c r="W105" s="3">
        <f>'St of Net Assets'!M105-U105</f>
        <v>0</v>
      </c>
    </row>
    <row r="106" spans="1:23">
      <c r="A106" s="3" t="s">
        <v>326</v>
      </c>
      <c r="C106" s="13" t="s">
        <v>183</v>
      </c>
      <c r="E106" s="13">
        <v>48660</v>
      </c>
      <c r="G106" s="3">
        <v>0</v>
      </c>
      <c r="H106" s="3"/>
      <c r="I106" s="3">
        <v>16024</v>
      </c>
      <c r="J106" s="3"/>
      <c r="K106" s="3">
        <v>0</v>
      </c>
      <c r="L106" s="3"/>
      <c r="M106" s="3">
        <v>0</v>
      </c>
      <c r="N106" s="3"/>
      <c r="O106" s="3">
        <v>963267</v>
      </c>
      <c r="P106" s="3"/>
      <c r="Q106" s="3">
        <v>0</v>
      </c>
      <c r="R106" s="3"/>
      <c r="S106" s="14">
        <f t="shared" si="1"/>
        <v>979291</v>
      </c>
      <c r="T106" s="3"/>
      <c r="U106" s="3">
        <v>234258</v>
      </c>
      <c r="V106" s="3"/>
      <c r="W106" s="3">
        <f>'St of Net Assets'!M106-U106</f>
        <v>0</v>
      </c>
    </row>
    <row r="107" spans="1:23">
      <c r="A107" s="3" t="s">
        <v>184</v>
      </c>
      <c r="C107" s="13" t="s">
        <v>185</v>
      </c>
      <c r="E107" s="13">
        <v>125252</v>
      </c>
      <c r="G107" s="3">
        <v>0</v>
      </c>
      <c r="H107" s="3"/>
      <c r="I107" s="3">
        <v>0</v>
      </c>
      <c r="J107" s="3"/>
      <c r="K107" s="3">
        <v>0</v>
      </c>
      <c r="L107" s="3"/>
      <c r="M107" s="3">
        <v>14134</v>
      </c>
      <c r="N107" s="3"/>
      <c r="O107" s="3">
        <v>1069940</v>
      </c>
      <c r="P107" s="3"/>
      <c r="Q107" s="3">
        <v>0</v>
      </c>
      <c r="R107" s="3"/>
      <c r="S107" s="14">
        <f t="shared" si="1"/>
        <v>1084074</v>
      </c>
      <c r="T107" s="3"/>
      <c r="U107" s="3">
        <v>90267</v>
      </c>
      <c r="V107" s="3"/>
      <c r="W107" s="3">
        <f>'St of Net Assets'!M107-U107</f>
        <v>0</v>
      </c>
    </row>
    <row r="108" spans="1:23">
      <c r="A108" s="3" t="s">
        <v>268</v>
      </c>
      <c r="C108" s="13" t="s">
        <v>195</v>
      </c>
      <c r="E108" s="13">
        <v>123257</v>
      </c>
      <c r="G108" s="3">
        <v>0</v>
      </c>
      <c r="H108" s="3"/>
      <c r="I108" s="3">
        <v>0</v>
      </c>
      <c r="J108" s="3"/>
      <c r="K108" s="3">
        <v>3530000</v>
      </c>
      <c r="L108" s="3"/>
      <c r="M108" s="3">
        <v>0</v>
      </c>
      <c r="N108" s="3"/>
      <c r="O108" s="3">
        <v>723987</v>
      </c>
      <c r="P108" s="3"/>
      <c r="Q108" s="3">
        <v>0</v>
      </c>
      <c r="R108" s="3"/>
      <c r="S108" s="14">
        <f t="shared" ref="S108" si="2">SUM(G108:R108)</f>
        <v>4253987</v>
      </c>
      <c r="T108" s="3"/>
      <c r="U108" s="3">
        <v>211514</v>
      </c>
      <c r="V108" s="3"/>
      <c r="W108" s="3">
        <f>'St of Net Assets'!M108-U108</f>
        <v>0</v>
      </c>
    </row>
    <row r="109" spans="1:23">
      <c r="A109" s="13" t="s">
        <v>305</v>
      </c>
      <c r="C109" s="13" t="s">
        <v>162</v>
      </c>
      <c r="E109" s="56">
        <v>125690</v>
      </c>
      <c r="G109" s="3">
        <v>0</v>
      </c>
      <c r="H109" s="3"/>
      <c r="I109" s="3">
        <v>0</v>
      </c>
      <c r="J109" s="3"/>
      <c r="K109" s="3">
        <v>0</v>
      </c>
      <c r="L109" s="3"/>
      <c r="M109" s="3">
        <v>0</v>
      </c>
      <c r="N109" s="3"/>
      <c r="O109" s="3">
        <v>1663811</v>
      </c>
      <c r="P109" s="3"/>
      <c r="Q109" s="3">
        <v>0</v>
      </c>
      <c r="R109" s="3"/>
      <c r="S109" s="14">
        <f t="shared" ref="S109" si="3">SUM(G109:R109)</f>
        <v>1663811</v>
      </c>
      <c r="T109" s="3"/>
      <c r="U109" s="3">
        <v>290271</v>
      </c>
      <c r="V109" s="3"/>
      <c r="W109" s="3">
        <f>'St of Net Assets'!M109-U109</f>
        <v>0</v>
      </c>
    </row>
    <row r="110" spans="1:23">
      <c r="A110" s="3" t="s">
        <v>165</v>
      </c>
      <c r="C110" s="3" t="s">
        <v>327</v>
      </c>
      <c r="E110" s="13">
        <v>124297</v>
      </c>
      <c r="G110" s="3">
        <v>0</v>
      </c>
      <c r="H110" s="3"/>
      <c r="I110" s="3">
        <v>969708</v>
      </c>
      <c r="J110" s="3"/>
      <c r="K110" s="3">
        <v>0</v>
      </c>
      <c r="L110" s="3"/>
      <c r="M110" s="3">
        <v>0</v>
      </c>
      <c r="N110" s="3"/>
      <c r="O110" s="3">
        <v>1168355</v>
      </c>
      <c r="P110" s="3"/>
      <c r="Q110" s="3">
        <v>0</v>
      </c>
      <c r="R110" s="3"/>
      <c r="S110" s="14">
        <f t="shared" si="1"/>
        <v>2138063</v>
      </c>
      <c r="T110" s="3"/>
      <c r="U110" s="3">
        <v>215435</v>
      </c>
      <c r="V110" s="3"/>
      <c r="W110" s="3">
        <f>'St of Net Assets'!M110-U110</f>
        <v>0</v>
      </c>
    </row>
    <row r="111" spans="1:23">
      <c r="A111" s="3" t="s">
        <v>314</v>
      </c>
      <c r="C111" s="3" t="s">
        <v>262</v>
      </c>
      <c r="E111" s="13">
        <v>123281</v>
      </c>
      <c r="G111" s="3">
        <v>0</v>
      </c>
      <c r="H111" s="3"/>
      <c r="I111" s="3">
        <v>0</v>
      </c>
      <c r="J111" s="3"/>
      <c r="K111" s="3">
        <v>0</v>
      </c>
      <c r="L111" s="3"/>
      <c r="M111" s="3">
        <v>9220</v>
      </c>
      <c r="N111" s="3"/>
      <c r="O111" s="3">
        <v>416980</v>
      </c>
      <c r="P111" s="3"/>
      <c r="Q111" s="3">
        <v>0</v>
      </c>
      <c r="R111" s="3"/>
      <c r="S111" s="14">
        <f t="shared" si="1"/>
        <v>426200</v>
      </c>
      <c r="T111" s="3"/>
      <c r="U111" s="3">
        <v>130461</v>
      </c>
      <c r="V111" s="3"/>
      <c r="W111" s="3">
        <f>'St of Net Assets'!M111-U111</f>
        <v>0</v>
      </c>
    </row>
    <row r="112" spans="1:23" hidden="1">
      <c r="A112" s="3" t="s">
        <v>364</v>
      </c>
      <c r="C112" s="13" t="s">
        <v>186</v>
      </c>
      <c r="E112" s="13">
        <v>125674</v>
      </c>
      <c r="G112" s="3">
        <v>0</v>
      </c>
      <c r="H112" s="3"/>
      <c r="I112" s="3">
        <v>0</v>
      </c>
      <c r="J112" s="3"/>
      <c r="K112" s="3">
        <v>0</v>
      </c>
      <c r="L112" s="3"/>
      <c r="M112" s="3">
        <v>0</v>
      </c>
      <c r="N112" s="3"/>
      <c r="O112" s="3">
        <v>0</v>
      </c>
      <c r="P112" s="3"/>
      <c r="Q112" s="3">
        <v>0</v>
      </c>
      <c r="R112" s="3"/>
      <c r="S112" s="14">
        <f t="shared" si="1"/>
        <v>0</v>
      </c>
      <c r="T112" s="3"/>
      <c r="U112" s="3"/>
      <c r="V112" s="3"/>
      <c r="W112" s="3">
        <f>'St of Net Assets'!M112-U112</f>
        <v>0</v>
      </c>
    </row>
    <row r="113" spans="1:23">
      <c r="A113" s="3" t="s">
        <v>338</v>
      </c>
      <c r="C113" s="13" t="s">
        <v>187</v>
      </c>
      <c r="E113" s="13">
        <v>49072</v>
      </c>
      <c r="G113" s="3">
        <v>0</v>
      </c>
      <c r="H113" s="3"/>
      <c r="I113" s="3">
        <v>0</v>
      </c>
      <c r="J113" s="3"/>
      <c r="K113" s="3">
        <v>0</v>
      </c>
      <c r="L113" s="3"/>
      <c r="M113" s="3">
        <v>0</v>
      </c>
      <c r="N113" s="3"/>
      <c r="O113" s="3">
        <v>187601</v>
      </c>
      <c r="P113" s="3"/>
      <c r="Q113" s="3">
        <v>0</v>
      </c>
      <c r="R113" s="3"/>
      <c r="S113" s="14">
        <f t="shared" si="1"/>
        <v>187601</v>
      </c>
      <c r="T113" s="3"/>
      <c r="U113" s="3">
        <v>14801</v>
      </c>
      <c r="V113" s="3"/>
      <c r="W113" s="3">
        <f>'St of Net Assets'!M113-U113</f>
        <v>0</v>
      </c>
    </row>
    <row r="114" spans="1:23">
      <c r="A114" s="3" t="s">
        <v>329</v>
      </c>
      <c r="C114" s="13" t="s">
        <v>188</v>
      </c>
      <c r="E114" s="13">
        <v>49163</v>
      </c>
      <c r="G114" s="3">
        <v>0</v>
      </c>
      <c r="H114" s="3"/>
      <c r="I114" s="3">
        <v>0</v>
      </c>
      <c r="J114" s="3"/>
      <c r="K114" s="3">
        <v>0</v>
      </c>
      <c r="L114" s="3"/>
      <c r="M114" s="3">
        <v>31159</v>
      </c>
      <c r="N114" s="3"/>
      <c r="O114" s="3">
        <v>61369</v>
      </c>
      <c r="P114" s="3"/>
      <c r="Q114" s="3">
        <v>0</v>
      </c>
      <c r="R114" s="3"/>
      <c r="S114" s="14">
        <f t="shared" si="1"/>
        <v>92528</v>
      </c>
      <c r="T114" s="3"/>
      <c r="U114" s="3">
        <v>18463</v>
      </c>
      <c r="V114" s="3"/>
      <c r="W114" s="3">
        <f>'St of Net Assets'!M114-U114</f>
        <v>0</v>
      </c>
    </row>
    <row r="115" spans="1:23" hidden="1">
      <c r="A115" s="13" t="s">
        <v>330</v>
      </c>
      <c r="C115" s="13" t="s">
        <v>189</v>
      </c>
      <c r="E115" s="13">
        <v>49254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14">
        <f t="shared" si="1"/>
        <v>0</v>
      </c>
      <c r="T115" s="3"/>
      <c r="U115" s="3"/>
      <c r="V115" s="3"/>
      <c r="W115" s="3">
        <f>'St of Net Assets'!M115-U115</f>
        <v>0</v>
      </c>
    </row>
    <row r="116" spans="1:23">
      <c r="A116" s="3" t="s">
        <v>331</v>
      </c>
      <c r="C116" s="13" t="s">
        <v>190</v>
      </c>
      <c r="E116" s="13">
        <v>49304</v>
      </c>
      <c r="G116" s="3">
        <v>0</v>
      </c>
      <c r="H116" s="3"/>
      <c r="I116" s="3">
        <v>0</v>
      </c>
      <c r="J116" s="3"/>
      <c r="K116" s="3">
        <v>0</v>
      </c>
      <c r="L116" s="3"/>
      <c r="M116" s="3">
        <v>648271</v>
      </c>
      <c r="N116" s="3"/>
      <c r="O116" s="3">
        <v>465349</v>
      </c>
      <c r="P116" s="3"/>
      <c r="Q116" s="3">
        <v>0</v>
      </c>
      <c r="R116" s="3"/>
      <c r="S116" s="14">
        <f t="shared" si="1"/>
        <v>1113620</v>
      </c>
      <c r="T116" s="3"/>
      <c r="U116" s="3">
        <v>150268</v>
      </c>
      <c r="V116" s="3"/>
      <c r="W116" s="3">
        <f>'St of Net Assets'!M116-U116</f>
        <v>0</v>
      </c>
    </row>
    <row r="117" spans="1:23">
      <c r="A117" s="3" t="s">
        <v>332</v>
      </c>
      <c r="C117" s="13" t="s">
        <v>192</v>
      </c>
      <c r="E117" s="13">
        <v>138222</v>
      </c>
      <c r="G117" s="3">
        <v>0</v>
      </c>
      <c r="H117" s="3"/>
      <c r="I117" s="3">
        <v>0</v>
      </c>
      <c r="J117" s="3"/>
      <c r="K117" s="3">
        <v>0</v>
      </c>
      <c r="L117" s="3"/>
      <c r="M117" s="3">
        <v>0</v>
      </c>
      <c r="N117" s="3"/>
      <c r="O117" s="3">
        <v>434899</v>
      </c>
      <c r="P117" s="3"/>
      <c r="Q117" s="3">
        <v>0</v>
      </c>
      <c r="R117" s="3"/>
      <c r="S117" s="14">
        <f t="shared" si="1"/>
        <v>434899</v>
      </c>
      <c r="T117" s="3"/>
      <c r="U117" s="3">
        <v>97023</v>
      </c>
      <c r="V117" s="3"/>
      <c r="W117" s="3">
        <f>'St of Net Assets'!M117-U117</f>
        <v>0</v>
      </c>
    </row>
    <row r="118" spans="1:23" hidden="1">
      <c r="A118" s="3" t="s">
        <v>306</v>
      </c>
      <c r="C118" s="13" t="s">
        <v>193</v>
      </c>
      <c r="E118" s="13">
        <v>49551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4">
        <f t="shared" si="1"/>
        <v>0</v>
      </c>
      <c r="T118" s="3"/>
      <c r="U118" s="3"/>
      <c r="V118" s="3"/>
      <c r="W118" s="3">
        <f>'St of Net Assets'!M118-U118</f>
        <v>0</v>
      </c>
    </row>
    <row r="119" spans="1:23" hidden="1">
      <c r="A119" s="3" t="s">
        <v>376</v>
      </c>
      <c r="C119" s="13" t="s">
        <v>196</v>
      </c>
      <c r="E119" s="13">
        <v>49742</v>
      </c>
      <c r="G119" s="3">
        <v>0</v>
      </c>
      <c r="H119" s="3"/>
      <c r="I119" s="3">
        <v>0</v>
      </c>
      <c r="J119" s="3"/>
      <c r="K119" s="3">
        <v>0</v>
      </c>
      <c r="L119" s="3"/>
      <c r="M119" s="3">
        <v>0</v>
      </c>
      <c r="N119" s="3"/>
      <c r="O119" s="3">
        <v>0</v>
      </c>
      <c r="P119" s="3"/>
      <c r="Q119" s="3">
        <v>0</v>
      </c>
      <c r="R119" s="3"/>
      <c r="S119" s="14">
        <f t="shared" si="1"/>
        <v>0</v>
      </c>
      <c r="T119" s="3"/>
      <c r="U119" s="3"/>
      <c r="V119" s="3"/>
      <c r="W119" s="3">
        <f>'St of Net Assets'!M119-U119</f>
        <v>0</v>
      </c>
    </row>
    <row r="120" spans="1:23">
      <c r="A120" s="3" t="s">
        <v>266</v>
      </c>
      <c r="C120" s="13" t="s">
        <v>194</v>
      </c>
      <c r="E120" s="13">
        <v>125658</v>
      </c>
      <c r="G120" s="3">
        <v>0</v>
      </c>
      <c r="H120" s="3"/>
      <c r="I120" s="3">
        <v>0</v>
      </c>
      <c r="J120" s="3"/>
      <c r="K120" s="3">
        <v>0</v>
      </c>
      <c r="L120" s="3"/>
      <c r="M120" s="3">
        <v>0</v>
      </c>
      <c r="N120" s="3"/>
      <c r="O120" s="3">
        <v>366866</v>
      </c>
      <c r="P120" s="3"/>
      <c r="Q120" s="3">
        <v>0</v>
      </c>
      <c r="R120" s="3"/>
      <c r="S120" s="14">
        <f t="shared" si="1"/>
        <v>366866</v>
      </c>
      <c r="T120" s="3"/>
      <c r="U120" s="3">
        <v>122018</v>
      </c>
      <c r="V120" s="3"/>
      <c r="W120" s="3">
        <f>'St of Net Assets'!M120-U120</f>
        <v>0</v>
      </c>
    </row>
    <row r="121" spans="1:23">
      <c r="A121" s="3" t="s">
        <v>265</v>
      </c>
      <c r="B121" s="3"/>
      <c r="C121" s="3" t="s">
        <v>157</v>
      </c>
      <c r="E121" s="13">
        <v>46375</v>
      </c>
      <c r="G121" s="3">
        <v>0</v>
      </c>
      <c r="H121" s="3"/>
      <c r="I121" s="3">
        <v>0</v>
      </c>
      <c r="J121" s="3"/>
      <c r="K121" s="3">
        <v>0</v>
      </c>
      <c r="L121" s="3"/>
      <c r="M121" s="3">
        <v>0</v>
      </c>
      <c r="N121" s="3"/>
      <c r="O121" s="3">
        <v>248756</v>
      </c>
      <c r="P121" s="3"/>
      <c r="Q121" s="3">
        <v>0</v>
      </c>
      <c r="R121" s="3"/>
      <c r="S121" s="14">
        <f>SUM(G121:R121)</f>
        <v>248756</v>
      </c>
      <c r="T121" s="3"/>
      <c r="U121" s="3">
        <v>49692</v>
      </c>
      <c r="V121" s="3"/>
      <c r="W121" s="3">
        <f>'St of Net Assets'!M121-U121</f>
        <v>0</v>
      </c>
    </row>
    <row r="122" spans="1:23">
      <c r="A122" s="13" t="s">
        <v>336</v>
      </c>
      <c r="C122" s="13" t="s">
        <v>197</v>
      </c>
      <c r="E122" s="13">
        <v>49825</v>
      </c>
      <c r="G122" s="3">
        <v>0</v>
      </c>
      <c r="H122" s="3"/>
      <c r="I122" s="3">
        <v>0</v>
      </c>
      <c r="J122" s="3"/>
      <c r="K122" s="3">
        <v>0</v>
      </c>
      <c r="L122" s="3"/>
      <c r="M122" s="3">
        <v>0</v>
      </c>
      <c r="N122" s="3"/>
      <c r="O122" s="3">
        <v>1011551</v>
      </c>
      <c r="P122" s="3"/>
      <c r="Q122" s="3">
        <v>0</v>
      </c>
      <c r="R122" s="3"/>
      <c r="S122" s="14">
        <f t="shared" si="1"/>
        <v>1011551</v>
      </c>
      <c r="T122" s="3"/>
      <c r="U122" s="3">
        <v>66815</v>
      </c>
      <c r="V122" s="3"/>
      <c r="W122" s="3">
        <f>'St of Net Assets'!M122-U122</f>
        <v>0</v>
      </c>
    </row>
    <row r="123" spans="1:23">
      <c r="A123" s="3" t="s">
        <v>337</v>
      </c>
      <c r="C123" s="13" t="s">
        <v>198</v>
      </c>
      <c r="E123" s="13">
        <v>49965</v>
      </c>
      <c r="G123" s="3">
        <v>0</v>
      </c>
      <c r="H123" s="3"/>
      <c r="I123" s="3">
        <v>0</v>
      </c>
      <c r="J123" s="3"/>
      <c r="K123" s="3">
        <v>0</v>
      </c>
      <c r="L123" s="3"/>
      <c r="M123" s="3">
        <v>968272</v>
      </c>
      <c r="N123" s="3"/>
      <c r="O123" s="3">
        <v>158866</v>
      </c>
      <c r="P123" s="3"/>
      <c r="Q123" s="3">
        <v>0</v>
      </c>
      <c r="R123" s="3"/>
      <c r="S123" s="14">
        <f t="shared" si="1"/>
        <v>1127138</v>
      </c>
      <c r="T123" s="3"/>
      <c r="U123" s="3">
        <v>103116</v>
      </c>
      <c r="V123" s="3"/>
      <c r="W123" s="3">
        <f>'St of Net Assets'!M123-U123</f>
        <v>0</v>
      </c>
    </row>
    <row r="124" spans="1:23" hidden="1">
      <c r="A124" s="3" t="s">
        <v>362</v>
      </c>
      <c r="C124" s="13" t="s">
        <v>205</v>
      </c>
      <c r="E124" s="13">
        <v>50526</v>
      </c>
      <c r="G124" s="3">
        <v>0</v>
      </c>
      <c r="H124" s="3"/>
      <c r="I124" s="3">
        <v>0</v>
      </c>
      <c r="J124" s="3"/>
      <c r="K124" s="3">
        <v>0</v>
      </c>
      <c r="L124" s="3"/>
      <c r="M124" s="3">
        <v>0</v>
      </c>
      <c r="N124" s="3"/>
      <c r="O124" s="3">
        <v>0</v>
      </c>
      <c r="P124" s="3"/>
      <c r="Q124" s="3">
        <v>0</v>
      </c>
      <c r="R124" s="3"/>
      <c r="S124" s="14">
        <f t="shared" si="1"/>
        <v>0</v>
      </c>
      <c r="T124" s="3"/>
      <c r="U124" s="3"/>
      <c r="V124" s="3"/>
      <c r="W124" s="3">
        <f>'St of Net Assets'!M124-U124</f>
        <v>0</v>
      </c>
    </row>
    <row r="125" spans="1:23">
      <c r="A125" s="3" t="s">
        <v>339</v>
      </c>
      <c r="C125" s="13" t="s">
        <v>199</v>
      </c>
      <c r="E125" s="13">
        <v>50088</v>
      </c>
      <c r="G125" s="3">
        <v>0</v>
      </c>
      <c r="H125" s="3"/>
      <c r="I125" s="3">
        <v>0</v>
      </c>
      <c r="J125" s="3"/>
      <c r="K125" s="3">
        <v>0</v>
      </c>
      <c r="L125" s="3"/>
      <c r="M125" s="3">
        <v>26777</v>
      </c>
      <c r="N125" s="3"/>
      <c r="O125" s="3">
        <v>1027277</v>
      </c>
      <c r="P125" s="3"/>
      <c r="Q125" s="3">
        <v>0</v>
      </c>
      <c r="R125" s="3"/>
      <c r="S125" s="14">
        <f t="shared" si="1"/>
        <v>1054054</v>
      </c>
      <c r="T125" s="3"/>
      <c r="U125" s="3">
        <v>232296</v>
      </c>
      <c r="V125" s="3"/>
      <c r="W125" s="3">
        <f>'St of Net Assets'!M125-U125</f>
        <v>0</v>
      </c>
    </row>
    <row r="126" spans="1:23" hidden="1">
      <c r="A126" s="3" t="s">
        <v>307</v>
      </c>
      <c r="C126" s="13" t="s">
        <v>200</v>
      </c>
      <c r="E126" s="13">
        <v>50260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14">
        <f t="shared" si="1"/>
        <v>0</v>
      </c>
      <c r="T126" s="3"/>
      <c r="U126" s="3"/>
      <c r="V126" s="3"/>
      <c r="W126" s="3">
        <f>'St of Net Assets'!M126-U126</f>
        <v>0</v>
      </c>
    </row>
    <row r="127" spans="1:23" hidden="1">
      <c r="A127" s="3" t="s">
        <v>341</v>
      </c>
      <c r="C127" s="13" t="s">
        <v>203</v>
      </c>
      <c r="E127" s="13">
        <v>50401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14">
        <f t="shared" si="1"/>
        <v>0</v>
      </c>
      <c r="T127" s="3"/>
      <c r="U127" s="3"/>
      <c r="V127" s="3"/>
      <c r="W127" s="3">
        <f>'St of Net Assets'!M127-U127</f>
        <v>0</v>
      </c>
    </row>
    <row r="128" spans="1:23" hidden="1">
      <c r="A128" s="3" t="s">
        <v>308</v>
      </c>
      <c r="C128" s="13" t="s">
        <v>204</v>
      </c>
      <c r="E128" s="13">
        <v>50476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14">
        <f t="shared" si="1"/>
        <v>0</v>
      </c>
      <c r="T128" s="3"/>
      <c r="U128" s="3"/>
      <c r="V128" s="3"/>
      <c r="W128" s="3">
        <f>'St of Net Assets'!M128-U128</f>
        <v>0</v>
      </c>
    </row>
    <row r="129" spans="1:23">
      <c r="A129" s="3" t="s">
        <v>201</v>
      </c>
      <c r="C129" s="13" t="s">
        <v>261</v>
      </c>
      <c r="E129" s="13">
        <v>134999</v>
      </c>
      <c r="G129" s="3">
        <v>0</v>
      </c>
      <c r="H129" s="3"/>
      <c r="I129" s="3">
        <v>0</v>
      </c>
      <c r="J129" s="3"/>
      <c r="K129" s="3">
        <v>0</v>
      </c>
      <c r="L129" s="3"/>
      <c r="M129" s="3">
        <v>0</v>
      </c>
      <c r="N129" s="3"/>
      <c r="O129" s="3">
        <v>197464</v>
      </c>
      <c r="P129" s="3"/>
      <c r="Q129" s="3">
        <v>0</v>
      </c>
      <c r="R129" s="3"/>
      <c r="S129" s="14">
        <f t="shared" si="1"/>
        <v>197464</v>
      </c>
      <c r="T129" s="3"/>
      <c r="U129" s="3">
        <v>24782</v>
      </c>
      <c r="V129" s="3"/>
      <c r="W129" s="3">
        <f>'St of Net Assets'!M129-U129</f>
        <v>0</v>
      </c>
    </row>
    <row r="130" spans="1:23">
      <c r="A130" s="3" t="s">
        <v>340</v>
      </c>
      <c r="C130" s="13" t="s">
        <v>206</v>
      </c>
      <c r="E130" s="13">
        <v>50666</v>
      </c>
      <c r="G130" s="3">
        <v>0</v>
      </c>
      <c r="H130" s="3"/>
      <c r="I130" s="3">
        <v>0</v>
      </c>
      <c r="J130" s="3"/>
      <c r="K130" s="3">
        <v>0</v>
      </c>
      <c r="L130" s="3"/>
      <c r="M130" s="3">
        <v>0</v>
      </c>
      <c r="N130" s="3"/>
      <c r="O130" s="3">
        <v>718006</v>
      </c>
      <c r="P130" s="3"/>
      <c r="Q130" s="3">
        <v>0</v>
      </c>
      <c r="R130" s="3"/>
      <c r="S130" s="14">
        <f t="shared" si="1"/>
        <v>718006</v>
      </c>
      <c r="T130" s="3"/>
      <c r="U130" s="3">
        <v>77250</v>
      </c>
      <c r="V130" s="3"/>
      <c r="W130" s="3">
        <f>'St of Net Assets'!M130-U130</f>
        <v>0</v>
      </c>
    </row>
    <row r="131" spans="1:23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45" spans="7:21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4"/>
      <c r="T145" s="3"/>
      <c r="U145" s="3"/>
    </row>
  </sheetData>
  <phoneticPr fontId="3" type="noConversion"/>
  <pageMargins left="0.9" right="0.75" top="0.5" bottom="0.5" header="0.25" footer="0.25"/>
  <pageSetup scale="80" firstPageNumber="70" pageOrder="overThenDown" orientation="portrait" useFirstPageNumber="1" r:id="rId1"/>
  <headerFooter scaleWithDoc="0" alignWithMargins="0"/>
  <rowBreaks count="1" manualBreakCount="1">
    <brk id="6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9"/>
  <sheetViews>
    <sheetView view="pageBreakPreview" zoomScaleNormal="100" zoomScaleSheetLayoutView="100" workbookViewId="0">
      <pane xSplit="4" ySplit="10" topLeftCell="E11" activePane="bottomRight" state="frozen"/>
      <selection activeCell="M146" sqref="M146"/>
      <selection pane="topRight" activeCell="M146" sqref="M146"/>
      <selection pane="bottomLeft" activeCell="M146" sqref="M146"/>
      <selection pane="bottomRight" activeCell="A3" sqref="A3"/>
    </sheetView>
  </sheetViews>
  <sheetFormatPr defaultRowHeight="12"/>
  <cols>
    <col min="1" max="1" width="40.7109375" style="24" customWidth="1"/>
    <col min="2" max="2" width="2.28515625" style="24" customWidth="1"/>
    <col min="3" max="3" width="9.140625" style="24"/>
    <col min="4" max="4" width="1.7109375" style="24" customWidth="1"/>
    <col min="5" max="5" width="9.7109375" style="24" customWidth="1"/>
    <col min="6" max="6" width="1.7109375" style="24" customWidth="1"/>
    <col min="7" max="7" width="9.7109375" style="24" customWidth="1"/>
    <col min="8" max="8" width="1.7109375" style="24" customWidth="1"/>
    <col min="9" max="9" width="9.7109375" style="24" customWidth="1"/>
    <col min="10" max="10" width="1.7109375" style="24" customWidth="1"/>
    <col min="11" max="11" width="9.7109375" style="24" customWidth="1"/>
    <col min="12" max="12" width="1.7109375" style="24" customWidth="1"/>
    <col min="13" max="13" width="9.28515625" style="24" bestFit="1" customWidth="1"/>
    <col min="14" max="14" width="1.28515625" style="25" customWidth="1"/>
    <col min="15" max="15" width="9.7109375" style="24" customWidth="1"/>
    <col min="16" max="16" width="1.28515625" style="24" customWidth="1"/>
    <col min="17" max="17" width="8.7109375" style="24" bestFit="1" customWidth="1"/>
    <col min="18" max="18" width="1.28515625" style="24" customWidth="1"/>
    <col min="19" max="19" width="9.5703125" style="24" bestFit="1" customWidth="1"/>
    <col min="20" max="20" width="1.28515625" style="24" customWidth="1"/>
    <col min="21" max="21" width="10.5703125" style="24" bestFit="1" customWidth="1"/>
    <col min="22" max="22" width="1.28515625" style="24" customWidth="1"/>
    <col min="23" max="23" width="10.85546875" style="24" bestFit="1" customWidth="1"/>
    <col min="24" max="24" width="1.28515625" style="24" customWidth="1"/>
    <col min="25" max="25" width="8.140625" style="24" bestFit="1" customWidth="1"/>
    <col min="26" max="26" width="1.28515625" style="24" customWidth="1"/>
    <col min="27" max="27" width="10.140625" style="24" customWidth="1"/>
    <col min="28" max="28" width="1.28515625" style="24" customWidth="1"/>
    <col min="29" max="29" width="10.85546875" style="24" bestFit="1" customWidth="1"/>
    <col min="30" max="30" width="1.28515625" style="24" customWidth="1"/>
    <col min="31" max="31" width="10.85546875" style="24" bestFit="1" customWidth="1"/>
    <col min="32" max="32" width="3.140625" style="24" customWidth="1"/>
    <col min="33" max="16384" width="9.140625" style="24"/>
  </cols>
  <sheetData>
    <row r="1" spans="1:36" s="13" customFormat="1">
      <c r="A1" s="16" t="s">
        <v>22</v>
      </c>
      <c r="B1" s="16"/>
      <c r="C1" s="16"/>
      <c r="E1" s="3"/>
      <c r="F1" s="3"/>
      <c r="G1" s="3"/>
      <c r="H1" s="3"/>
      <c r="I1" s="3"/>
      <c r="J1" s="3"/>
      <c r="K1" s="3"/>
      <c r="L1" s="3"/>
      <c r="M1" s="3"/>
      <c r="N1" s="1"/>
      <c r="O1" s="3"/>
      <c r="P1" s="3"/>
      <c r="Q1" s="3"/>
      <c r="R1" s="3"/>
      <c r="S1" s="3"/>
      <c r="T1" s="3"/>
      <c r="U1" s="3"/>
      <c r="V1" s="24"/>
      <c r="W1" s="3"/>
      <c r="X1" s="3"/>
      <c r="Y1" s="3"/>
      <c r="Z1" s="3"/>
      <c r="AA1" s="3"/>
      <c r="AB1" s="3"/>
      <c r="AC1" s="3"/>
    </row>
    <row r="2" spans="1:36" s="13" customFormat="1">
      <c r="A2" s="16" t="s">
        <v>351</v>
      </c>
      <c r="B2" s="16"/>
      <c r="C2" s="16"/>
      <c r="E2" s="3"/>
      <c r="F2" s="3"/>
      <c r="G2" s="3"/>
      <c r="H2" s="3"/>
      <c r="I2" s="3"/>
      <c r="J2" s="3"/>
      <c r="K2" s="3"/>
      <c r="L2" s="3"/>
      <c r="M2" s="3"/>
      <c r="N2" s="1"/>
      <c r="O2" s="3"/>
      <c r="P2" s="3"/>
      <c r="Q2" s="3"/>
      <c r="R2" s="3"/>
      <c r="S2" s="3"/>
      <c r="T2" s="3"/>
      <c r="U2" s="3"/>
      <c r="V2" s="24"/>
      <c r="W2" s="3"/>
      <c r="X2" s="3"/>
      <c r="Y2" s="3"/>
      <c r="Z2" s="3"/>
      <c r="AA2" s="3"/>
      <c r="AB2" s="3"/>
      <c r="AC2" s="3"/>
    </row>
    <row r="3" spans="1:36" s="13" customFormat="1">
      <c r="A3" s="69"/>
      <c r="E3" s="3"/>
      <c r="F3" s="3"/>
      <c r="G3" s="3"/>
      <c r="H3" s="3"/>
      <c r="I3" s="3"/>
      <c r="J3" s="3"/>
      <c r="K3" s="3"/>
      <c r="L3" s="3"/>
      <c r="M3" s="3"/>
      <c r="N3" s="1"/>
      <c r="O3" s="3"/>
      <c r="P3" s="3"/>
      <c r="Q3" s="3"/>
      <c r="R3" s="3"/>
      <c r="S3" s="3"/>
      <c r="T3" s="3"/>
      <c r="U3" s="3"/>
      <c r="V3" s="24"/>
      <c r="W3" s="3"/>
      <c r="X3" s="3"/>
      <c r="Y3" s="3"/>
      <c r="Z3" s="3"/>
      <c r="AA3" s="3"/>
      <c r="AB3" s="3"/>
      <c r="AC3" s="3"/>
      <c r="AF3" s="59"/>
    </row>
    <row r="4" spans="1:36" s="13" customFormat="1">
      <c r="A4" s="6" t="s">
        <v>260</v>
      </c>
      <c r="B4" s="16"/>
      <c r="C4" s="16"/>
      <c r="E4" s="3"/>
      <c r="F4" s="3"/>
      <c r="G4" s="3"/>
      <c r="H4" s="3"/>
      <c r="I4" s="3"/>
      <c r="J4" s="3"/>
      <c r="K4" s="3"/>
      <c r="L4" s="3"/>
      <c r="M4" s="3"/>
      <c r="N4" s="1"/>
      <c r="O4" s="3"/>
      <c r="P4" s="3"/>
      <c r="Q4" s="3"/>
      <c r="R4" s="3"/>
      <c r="S4" s="3"/>
      <c r="T4" s="3"/>
      <c r="U4" s="3"/>
      <c r="V4" s="24"/>
      <c r="W4" s="3"/>
      <c r="X4" s="3"/>
      <c r="Y4" s="3"/>
      <c r="Z4" s="3"/>
      <c r="AA4" s="3"/>
      <c r="AB4" s="3"/>
      <c r="AC4" s="3"/>
    </row>
    <row r="5" spans="1:36" s="13" customFormat="1">
      <c r="A5" s="16"/>
      <c r="B5" s="16"/>
      <c r="C5" s="16"/>
      <c r="E5" s="3"/>
      <c r="F5" s="3"/>
      <c r="G5" s="3"/>
      <c r="H5" s="3"/>
      <c r="I5" s="3"/>
      <c r="J5" s="3"/>
      <c r="K5" s="3"/>
      <c r="L5" s="3"/>
      <c r="M5" s="3"/>
      <c r="N5" s="1"/>
      <c r="O5" s="3"/>
      <c r="P5" s="3"/>
      <c r="Q5" s="3"/>
      <c r="R5" s="3"/>
      <c r="S5" s="3"/>
      <c r="T5" s="3"/>
      <c r="U5" s="3"/>
      <c r="V5" s="24"/>
      <c r="W5" s="3"/>
      <c r="X5" s="3"/>
      <c r="Y5" s="3"/>
      <c r="Z5" s="3"/>
      <c r="AA5" s="3"/>
      <c r="AB5" s="3"/>
      <c r="AC5" s="3"/>
      <c r="AE5" s="13" t="s">
        <v>270</v>
      </c>
    </row>
    <row r="6" spans="1:36" s="18" customFormat="1">
      <c r="A6" s="26" t="s">
        <v>317</v>
      </c>
      <c r="D6" s="5"/>
      <c r="E6" s="70" t="s">
        <v>23</v>
      </c>
      <c r="F6" s="70"/>
      <c r="G6" s="70"/>
      <c r="H6" s="70"/>
      <c r="I6" s="70"/>
      <c r="J6" s="2" t="s">
        <v>24</v>
      </c>
      <c r="K6" s="2"/>
      <c r="L6" s="10"/>
      <c r="M6" s="70" t="s">
        <v>343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45"/>
      <c r="Y6" s="10"/>
      <c r="Z6" s="10"/>
      <c r="AA6" s="10" t="s">
        <v>8</v>
      </c>
      <c r="AB6" s="10"/>
      <c r="AC6" s="10"/>
      <c r="AE6" s="18" t="s">
        <v>271</v>
      </c>
    </row>
    <row r="7" spans="1:36" s="18" customFormat="1">
      <c r="E7" s="10"/>
      <c r="F7" s="10"/>
      <c r="G7" s="10" t="s">
        <v>25</v>
      </c>
      <c r="H7" s="10"/>
      <c r="I7" s="10"/>
      <c r="J7" s="10"/>
      <c r="K7" s="10"/>
      <c r="L7" s="10"/>
      <c r="M7" s="10"/>
      <c r="N7" s="2"/>
      <c r="O7" s="10"/>
      <c r="P7" s="10"/>
      <c r="Q7" s="10"/>
      <c r="R7" s="10"/>
      <c r="S7" s="10"/>
      <c r="T7" s="10"/>
      <c r="U7" s="10" t="s">
        <v>19</v>
      </c>
      <c r="V7" s="10"/>
      <c r="W7" s="10"/>
      <c r="X7" s="45"/>
      <c r="Y7" s="2"/>
      <c r="Z7" s="2"/>
      <c r="AA7" s="10" t="s">
        <v>26</v>
      </c>
      <c r="AB7" s="10"/>
      <c r="AC7" s="10"/>
      <c r="AE7" s="10" t="s">
        <v>272</v>
      </c>
      <c r="AF7" s="10"/>
    </row>
    <row r="8" spans="1:36" s="18" customFormat="1">
      <c r="E8" s="10"/>
      <c r="F8" s="10"/>
      <c r="G8" s="10" t="s">
        <v>27</v>
      </c>
      <c r="H8" s="10"/>
      <c r="I8" s="10"/>
      <c r="J8" s="10"/>
      <c r="K8" s="10" t="s">
        <v>8</v>
      </c>
      <c r="L8" s="10"/>
      <c r="N8" s="19"/>
      <c r="O8" s="18" t="s">
        <v>19</v>
      </c>
      <c r="S8" s="18" t="s">
        <v>29</v>
      </c>
      <c r="U8" s="8" t="s">
        <v>30</v>
      </c>
      <c r="X8" s="45"/>
      <c r="AA8" s="2" t="s">
        <v>31</v>
      </c>
      <c r="AB8" s="2"/>
      <c r="AC8" s="2" t="s">
        <v>352</v>
      </c>
      <c r="AE8" s="10" t="s">
        <v>273</v>
      </c>
      <c r="AF8" s="10"/>
    </row>
    <row r="9" spans="1:36" s="18" customFormat="1">
      <c r="A9" s="8"/>
      <c r="B9" s="8"/>
      <c r="C9" s="8"/>
      <c r="D9" s="8"/>
      <c r="E9" s="10" t="s">
        <v>32</v>
      </c>
      <c r="F9" s="10"/>
      <c r="G9" s="10" t="s">
        <v>30</v>
      </c>
      <c r="H9" s="10"/>
      <c r="I9" s="10" t="s">
        <v>6</v>
      </c>
      <c r="J9" s="10"/>
      <c r="K9" s="10" t="s">
        <v>33</v>
      </c>
      <c r="L9" s="10"/>
      <c r="M9" s="2" t="s">
        <v>34</v>
      </c>
      <c r="N9" s="2"/>
      <c r="O9" s="2" t="s">
        <v>35</v>
      </c>
      <c r="P9" s="2"/>
      <c r="Q9" s="10" t="s">
        <v>36</v>
      </c>
      <c r="R9" s="10"/>
      <c r="S9" s="2" t="s">
        <v>39</v>
      </c>
      <c r="T9" s="2"/>
      <c r="U9" s="8" t="s">
        <v>40</v>
      </c>
      <c r="V9" s="2"/>
      <c r="W9" s="10"/>
      <c r="X9" s="45"/>
      <c r="Y9" s="2" t="s">
        <v>41</v>
      </c>
      <c r="Z9" s="2"/>
      <c r="AA9" s="2" t="s">
        <v>40</v>
      </c>
      <c r="AB9" s="10"/>
      <c r="AC9" s="10" t="s">
        <v>42</v>
      </c>
      <c r="AE9" s="10" t="s">
        <v>352</v>
      </c>
      <c r="AF9" s="10"/>
    </row>
    <row r="10" spans="1:36" s="18" customFormat="1">
      <c r="A10" s="44" t="s">
        <v>282</v>
      </c>
      <c r="C10" s="44" t="s">
        <v>12</v>
      </c>
      <c r="D10" s="8"/>
      <c r="E10" s="57" t="s">
        <v>43</v>
      </c>
      <c r="F10" s="2"/>
      <c r="G10" s="57" t="s">
        <v>44</v>
      </c>
      <c r="H10" s="2"/>
      <c r="I10" s="57" t="s">
        <v>45</v>
      </c>
      <c r="J10" s="2"/>
      <c r="K10" s="57" t="s">
        <v>31</v>
      </c>
      <c r="L10" s="2"/>
      <c r="M10" s="57" t="s">
        <v>46</v>
      </c>
      <c r="N10" s="2"/>
      <c r="O10" s="57" t="s">
        <v>47</v>
      </c>
      <c r="P10" s="2"/>
      <c r="Q10" s="57" t="s">
        <v>48</v>
      </c>
      <c r="R10" s="2"/>
      <c r="S10" s="57" t="s">
        <v>46</v>
      </c>
      <c r="T10" s="2"/>
      <c r="U10" s="12" t="s">
        <v>51</v>
      </c>
      <c r="V10" s="2"/>
      <c r="W10" s="57" t="s">
        <v>128</v>
      </c>
      <c r="X10" s="54"/>
      <c r="Y10" s="44" t="s">
        <v>240</v>
      </c>
      <c r="Z10" s="19"/>
      <c r="AA10" s="57" t="s">
        <v>67</v>
      </c>
      <c r="AB10" s="2"/>
      <c r="AC10" s="57" t="s">
        <v>52</v>
      </c>
      <c r="AD10" s="19"/>
      <c r="AE10" s="57" t="s">
        <v>239</v>
      </c>
      <c r="AF10" s="2"/>
    </row>
    <row r="11" spans="1:36" s="18" customFormat="1">
      <c r="A11" s="19"/>
      <c r="C11" s="19"/>
      <c r="D11" s="8"/>
      <c r="E11" s="2"/>
      <c r="F11" s="10"/>
      <c r="G11" s="2"/>
      <c r="H11" s="10"/>
      <c r="I11" s="2"/>
      <c r="J11" s="2"/>
      <c r="K11" s="2"/>
      <c r="L11" s="10"/>
      <c r="M11" s="2"/>
      <c r="N11" s="2"/>
      <c r="O11" s="2"/>
      <c r="P11" s="2"/>
      <c r="Q11" s="2"/>
      <c r="R11" s="2"/>
      <c r="S11" s="2"/>
      <c r="T11" s="2"/>
      <c r="U11" s="8"/>
      <c r="V11" s="10"/>
      <c r="W11" s="2"/>
      <c r="X11" s="45"/>
      <c r="Y11" s="19"/>
      <c r="Z11" s="19"/>
      <c r="AA11" s="2"/>
      <c r="AB11" s="10"/>
      <c r="AC11" s="2"/>
      <c r="AD11" s="19"/>
      <c r="AE11" s="2"/>
      <c r="AF11" s="2"/>
    </row>
    <row r="12" spans="1:36" s="18" customFormat="1">
      <c r="A12" s="29" t="s">
        <v>255</v>
      </c>
      <c r="C12" s="19"/>
      <c r="D12" s="8"/>
      <c r="E12" s="2"/>
      <c r="F12" s="10"/>
      <c r="G12" s="2"/>
      <c r="H12" s="10"/>
      <c r="I12" s="2"/>
      <c r="J12" s="2"/>
      <c r="K12" s="2"/>
      <c r="L12" s="10"/>
      <c r="M12" s="2"/>
      <c r="N12" s="2"/>
      <c r="O12" s="2"/>
      <c r="P12" s="2"/>
      <c r="Q12" s="2"/>
      <c r="R12" s="2"/>
      <c r="S12" s="2"/>
      <c r="T12" s="2"/>
      <c r="U12" s="8"/>
      <c r="V12" s="10"/>
      <c r="W12" s="2"/>
      <c r="X12" s="45"/>
      <c r="Y12" s="19"/>
      <c r="Z12" s="19"/>
      <c r="AA12" s="2"/>
      <c r="AB12" s="10"/>
      <c r="AC12" s="10"/>
      <c r="AE12" s="2"/>
      <c r="AF12" s="2"/>
    </row>
    <row r="13" spans="1:36" s="18" customFormat="1">
      <c r="A13" s="29"/>
      <c r="C13" s="19"/>
      <c r="D13" s="8"/>
      <c r="E13" s="2"/>
      <c r="F13" s="10"/>
      <c r="G13" s="2"/>
      <c r="H13" s="10"/>
      <c r="I13" s="2"/>
      <c r="J13" s="2"/>
      <c r="K13" s="2"/>
      <c r="L13" s="10"/>
      <c r="M13" s="2"/>
      <c r="N13" s="2"/>
      <c r="O13" s="2"/>
      <c r="P13" s="2"/>
      <c r="Q13" s="2"/>
      <c r="R13" s="2"/>
      <c r="S13" s="2"/>
      <c r="T13" s="2"/>
      <c r="U13" s="8"/>
      <c r="V13" s="10"/>
      <c r="W13" s="2"/>
      <c r="X13" s="45"/>
      <c r="Y13" s="19"/>
      <c r="Z13" s="19"/>
      <c r="AA13" s="2"/>
      <c r="AB13" s="10"/>
      <c r="AC13" s="10"/>
      <c r="AE13" s="2"/>
      <c r="AF13" s="2"/>
    </row>
    <row r="14" spans="1:36" s="18" customFormat="1">
      <c r="A14" s="3" t="s">
        <v>288</v>
      </c>
      <c r="B14" s="3"/>
      <c r="C14" s="3" t="s">
        <v>263</v>
      </c>
      <c r="D14" s="8"/>
      <c r="E14" s="17">
        <v>1024385</v>
      </c>
      <c r="F14" s="17"/>
      <c r="G14" s="17">
        <v>2717249</v>
      </c>
      <c r="H14" s="17"/>
      <c r="I14" s="17">
        <v>0</v>
      </c>
      <c r="J14" s="17"/>
      <c r="K14" s="17">
        <f>SUM(E14:J14)</f>
        <v>3741634</v>
      </c>
      <c r="L14" s="17"/>
      <c r="M14" s="17">
        <f>2873978+603213</f>
        <v>3477191</v>
      </c>
      <c r="N14" s="66"/>
      <c r="O14" s="17">
        <v>4420618</v>
      </c>
      <c r="P14" s="17"/>
      <c r="Q14" s="17">
        <v>68993</v>
      </c>
      <c r="R14" s="17"/>
      <c r="S14" s="17">
        <v>0</v>
      </c>
      <c r="T14" s="17"/>
      <c r="U14" s="17">
        <v>0</v>
      </c>
      <c r="V14" s="17"/>
      <c r="W14" s="17">
        <v>120536</v>
      </c>
      <c r="X14" s="62"/>
      <c r="Y14" s="17">
        <v>0</v>
      </c>
      <c r="Z14" s="17"/>
      <c r="AA14" s="17">
        <f t="shared" ref="AA14:AA22" si="0">SUM(M14:Y14)</f>
        <v>8087338</v>
      </c>
      <c r="AB14" s="17"/>
      <c r="AC14" s="17">
        <v>0</v>
      </c>
      <c r="AD14" s="17"/>
      <c r="AE14" s="17">
        <f t="shared" ref="AE14:AE45" si="1">+AA14+K14</f>
        <v>11828972</v>
      </c>
      <c r="AF14" s="17"/>
      <c r="AG14" s="24"/>
      <c r="AH14" s="24"/>
      <c r="AI14" s="24"/>
      <c r="AJ14" s="24"/>
    </row>
    <row r="15" spans="1:36">
      <c r="A15" s="3" t="s">
        <v>241</v>
      </c>
      <c r="B15" s="13"/>
      <c r="C15" s="13" t="s">
        <v>145</v>
      </c>
      <c r="E15" s="3">
        <v>853728</v>
      </c>
      <c r="F15" s="3"/>
      <c r="G15" s="3">
        <v>1204495</v>
      </c>
      <c r="H15" s="3"/>
      <c r="I15" s="3">
        <v>0</v>
      </c>
      <c r="J15" s="3"/>
      <c r="K15" s="3">
        <f>SUM(E15:J15)</f>
        <v>2058223</v>
      </c>
      <c r="L15" s="3"/>
      <c r="M15" s="3">
        <f>1947380+305025</f>
        <v>2252405</v>
      </c>
      <c r="N15" s="1"/>
      <c r="O15" s="3">
        <v>2813240</v>
      </c>
      <c r="P15" s="3"/>
      <c r="Q15" s="3">
        <v>24769</v>
      </c>
      <c r="R15" s="3"/>
      <c r="S15" s="3">
        <v>0</v>
      </c>
      <c r="T15" s="3"/>
      <c r="U15" s="3">
        <v>0</v>
      </c>
      <c r="V15" s="3"/>
      <c r="W15" s="3">
        <v>22219</v>
      </c>
      <c r="X15" s="27"/>
      <c r="Y15" s="3">
        <v>0</v>
      </c>
      <c r="Z15" s="3"/>
      <c r="AA15" s="3">
        <f t="shared" si="0"/>
        <v>5112633</v>
      </c>
      <c r="AB15" s="3"/>
      <c r="AC15" s="3">
        <v>0</v>
      </c>
      <c r="AD15" s="3"/>
      <c r="AE15" s="3">
        <f t="shared" si="1"/>
        <v>7170856</v>
      </c>
      <c r="AF15" s="17"/>
    </row>
    <row r="16" spans="1:36">
      <c r="A16" s="3" t="s">
        <v>356</v>
      </c>
      <c r="B16" s="13"/>
      <c r="C16" s="13" t="s">
        <v>146</v>
      </c>
      <c r="E16" s="3">
        <v>1220301</v>
      </c>
      <c r="F16" s="3"/>
      <c r="G16" s="3">
        <v>2888618</v>
      </c>
      <c r="H16" s="3"/>
      <c r="I16" s="3">
        <v>125304</v>
      </c>
      <c r="J16" s="3"/>
      <c r="K16" s="3">
        <f>SUM(E16:J16)</f>
        <v>4234223</v>
      </c>
      <c r="L16" s="3"/>
      <c r="M16" s="3">
        <f>3920786+520434</f>
        <v>4441220</v>
      </c>
      <c r="N16" s="1"/>
      <c r="O16" s="3">
        <v>6175239</v>
      </c>
      <c r="P16" s="3"/>
      <c r="Q16" s="3">
        <v>29487</v>
      </c>
      <c r="R16" s="3"/>
      <c r="S16" s="3">
        <v>0</v>
      </c>
      <c r="T16" s="3"/>
      <c r="U16" s="3">
        <v>0</v>
      </c>
      <c r="V16" s="3"/>
      <c r="W16" s="3">
        <v>112160</v>
      </c>
      <c r="X16" s="27"/>
      <c r="Y16" s="3">
        <v>0</v>
      </c>
      <c r="Z16" s="3"/>
      <c r="AA16" s="3">
        <f t="shared" si="0"/>
        <v>10758106</v>
      </c>
      <c r="AB16" s="3"/>
      <c r="AC16" s="3">
        <v>0</v>
      </c>
      <c r="AD16" s="3"/>
      <c r="AE16" s="3">
        <f t="shared" si="1"/>
        <v>14992329</v>
      </c>
      <c r="AF16" s="3"/>
    </row>
    <row r="17" spans="1:32">
      <c r="A17" s="3" t="s">
        <v>294</v>
      </c>
      <c r="B17" s="13"/>
      <c r="C17" s="13" t="s">
        <v>148</v>
      </c>
      <c r="E17" s="3">
        <v>1030067</v>
      </c>
      <c r="F17" s="3"/>
      <c r="G17" s="3">
        <v>803705</v>
      </c>
      <c r="H17" s="3"/>
      <c r="I17" s="3">
        <v>90000</v>
      </c>
      <c r="J17" s="3"/>
      <c r="K17" s="3">
        <f t="shared" ref="K17:K87" si="2">SUM(E17:J17)</f>
        <v>1923772</v>
      </c>
      <c r="L17" s="3"/>
      <c r="M17" s="3">
        <f>6164096+242322</f>
        <v>6406418</v>
      </c>
      <c r="N17" s="1"/>
      <c r="O17" s="3">
        <v>3022874</v>
      </c>
      <c r="P17" s="3"/>
      <c r="Q17" s="3">
        <v>18553</v>
      </c>
      <c r="R17" s="3"/>
      <c r="S17" s="3">
        <v>0</v>
      </c>
      <c r="T17" s="3"/>
      <c r="U17" s="3">
        <v>0</v>
      </c>
      <c r="V17" s="3"/>
      <c r="W17" s="3">
        <v>44789</v>
      </c>
      <c r="X17" s="27"/>
      <c r="Y17" s="3">
        <v>0</v>
      </c>
      <c r="Z17" s="3"/>
      <c r="AA17" s="3">
        <f t="shared" si="0"/>
        <v>9492634</v>
      </c>
      <c r="AB17" s="3"/>
      <c r="AC17" s="3">
        <v>0</v>
      </c>
      <c r="AD17" s="3"/>
      <c r="AE17" s="3">
        <f t="shared" si="1"/>
        <v>11416406</v>
      </c>
      <c r="AF17" s="3"/>
    </row>
    <row r="18" spans="1:32">
      <c r="A18" s="3" t="s">
        <v>295</v>
      </c>
      <c r="B18" s="13"/>
      <c r="C18" s="13" t="s">
        <v>151</v>
      </c>
      <c r="E18" s="3">
        <v>189046</v>
      </c>
      <c r="F18" s="3"/>
      <c r="G18" s="3">
        <v>954848</v>
      </c>
      <c r="H18" s="3"/>
      <c r="I18" s="3">
        <v>0</v>
      </c>
      <c r="J18" s="3"/>
      <c r="K18" s="3">
        <f t="shared" si="2"/>
        <v>1143894</v>
      </c>
      <c r="L18" s="3"/>
      <c r="M18" s="3">
        <v>1566103</v>
      </c>
      <c r="N18" s="1"/>
      <c r="O18" s="3">
        <v>3956114</v>
      </c>
      <c r="P18" s="3"/>
      <c r="Q18" s="3">
        <v>5994</v>
      </c>
      <c r="R18" s="3"/>
      <c r="S18" s="3">
        <v>70958</v>
      </c>
      <c r="T18" s="3"/>
      <c r="U18" s="3">
        <v>0</v>
      </c>
      <c r="V18" s="3"/>
      <c r="W18" s="3">
        <f>14690+3519</f>
        <v>18209</v>
      </c>
      <c r="X18" s="27"/>
      <c r="Y18" s="3">
        <v>0</v>
      </c>
      <c r="Z18" s="3"/>
      <c r="AA18" s="3">
        <f t="shared" si="0"/>
        <v>5617378</v>
      </c>
      <c r="AB18" s="3"/>
      <c r="AC18" s="3">
        <v>0</v>
      </c>
      <c r="AD18" s="3"/>
      <c r="AE18" s="3">
        <f t="shared" si="1"/>
        <v>6761272</v>
      </c>
      <c r="AF18" s="3"/>
    </row>
    <row r="19" spans="1:32">
      <c r="A19" s="3" t="s">
        <v>222</v>
      </c>
      <c r="B19" s="13"/>
      <c r="C19" s="13" t="s">
        <v>200</v>
      </c>
      <c r="E19" s="3">
        <v>1585957</v>
      </c>
      <c r="F19" s="3"/>
      <c r="G19" s="3">
        <v>1831365</v>
      </c>
      <c r="H19" s="3"/>
      <c r="I19" s="3">
        <v>0</v>
      </c>
      <c r="J19" s="3"/>
      <c r="K19" s="3">
        <f t="shared" si="2"/>
        <v>3417322</v>
      </c>
      <c r="L19" s="3"/>
      <c r="M19" s="3">
        <f>4192755+385009</f>
        <v>4577764</v>
      </c>
      <c r="N19" s="1"/>
      <c r="O19" s="3">
        <v>6894931</v>
      </c>
      <c r="P19" s="3"/>
      <c r="Q19" s="3">
        <v>94284</v>
      </c>
      <c r="R19" s="3"/>
      <c r="S19" s="3">
        <v>0</v>
      </c>
      <c r="T19" s="3"/>
      <c r="U19" s="3">
        <v>0</v>
      </c>
      <c r="V19" s="3"/>
      <c r="W19" s="3">
        <v>298730</v>
      </c>
      <c r="X19" s="27"/>
      <c r="Y19" s="3">
        <v>0</v>
      </c>
      <c r="Z19" s="3"/>
      <c r="AA19" s="3">
        <f t="shared" si="0"/>
        <v>11865709</v>
      </c>
      <c r="AB19" s="3"/>
      <c r="AC19" s="3">
        <v>0</v>
      </c>
      <c r="AD19" s="3"/>
      <c r="AE19" s="3">
        <f t="shared" si="1"/>
        <v>15283031</v>
      </c>
      <c r="AF19" s="3"/>
    </row>
    <row r="20" spans="1:32">
      <c r="A20" s="3" t="s">
        <v>366</v>
      </c>
      <c r="B20" s="13"/>
      <c r="C20" s="13" t="s">
        <v>149</v>
      </c>
      <c r="E20" s="3">
        <v>747031</v>
      </c>
      <c r="F20" s="3"/>
      <c r="G20" s="3">
        <v>1427642</v>
      </c>
      <c r="H20" s="3"/>
      <c r="I20" s="3">
        <v>0</v>
      </c>
      <c r="J20" s="3"/>
      <c r="K20" s="3">
        <f t="shared" si="2"/>
        <v>2174673</v>
      </c>
      <c r="L20" s="3"/>
      <c r="M20" s="3">
        <v>14382361</v>
      </c>
      <c r="N20" s="1"/>
      <c r="O20" s="3">
        <v>24414136</v>
      </c>
      <c r="P20" s="3"/>
      <c r="Q20" s="3">
        <v>56773</v>
      </c>
      <c r="R20" s="3"/>
      <c r="S20" s="3">
        <v>0</v>
      </c>
      <c r="T20" s="3"/>
      <c r="U20" s="3">
        <v>0</v>
      </c>
      <c r="V20" s="3"/>
      <c r="W20" s="3">
        <v>186951</v>
      </c>
      <c r="X20" s="27"/>
      <c r="Y20" s="3">
        <v>-120000</v>
      </c>
      <c r="Z20" s="3"/>
      <c r="AA20" s="3">
        <f t="shared" si="0"/>
        <v>38920221</v>
      </c>
      <c r="AB20" s="3"/>
      <c r="AC20" s="3">
        <v>-657123</v>
      </c>
      <c r="AD20" s="3"/>
      <c r="AE20" s="3">
        <f>+AA20+K20+AC20</f>
        <v>40437771</v>
      </c>
      <c r="AF20" s="3"/>
    </row>
    <row r="21" spans="1:32">
      <c r="A21" s="3" t="s">
        <v>278</v>
      </c>
      <c r="B21" s="13"/>
      <c r="C21" s="13" t="s">
        <v>175</v>
      </c>
      <c r="E21" s="3">
        <v>2226912</v>
      </c>
      <c r="F21" s="3"/>
      <c r="G21" s="3">
        <v>3013800</v>
      </c>
      <c r="H21" s="3"/>
      <c r="I21" s="3">
        <v>0</v>
      </c>
      <c r="J21" s="3"/>
      <c r="K21" s="3">
        <f>SUM(E21:J21)</f>
        <v>5240712</v>
      </c>
      <c r="L21" s="3"/>
      <c r="M21" s="3">
        <f>6560937+1751458</f>
        <v>8312395</v>
      </c>
      <c r="N21" s="1"/>
      <c r="O21" s="3">
        <v>3952143</v>
      </c>
      <c r="P21" s="3"/>
      <c r="Q21" s="3">
        <v>16458</v>
      </c>
      <c r="R21" s="3"/>
      <c r="S21" s="3">
        <v>0</v>
      </c>
      <c r="T21" s="3"/>
      <c r="U21" s="3">
        <v>0</v>
      </c>
      <c r="V21" s="3"/>
      <c r="W21" s="3">
        <v>18925</v>
      </c>
      <c r="X21" s="27"/>
      <c r="Y21" s="3">
        <v>0</v>
      </c>
      <c r="Z21" s="3"/>
      <c r="AA21" s="3">
        <f>SUM(M21:Y21)</f>
        <v>12299921</v>
      </c>
      <c r="AB21" s="3"/>
      <c r="AC21" s="3">
        <v>0</v>
      </c>
      <c r="AD21" s="3"/>
      <c r="AE21" s="3">
        <f>+AA21+K21</f>
        <v>17540633</v>
      </c>
      <c r="AF21" s="3"/>
    </row>
    <row r="22" spans="1:32" hidden="1">
      <c r="A22" s="3" t="s">
        <v>276</v>
      </c>
      <c r="B22" s="13"/>
      <c r="C22" s="13" t="s">
        <v>216</v>
      </c>
      <c r="E22" s="3">
        <v>0</v>
      </c>
      <c r="F22" s="3"/>
      <c r="G22" s="3">
        <v>0</v>
      </c>
      <c r="H22" s="3"/>
      <c r="I22" s="3">
        <v>0</v>
      </c>
      <c r="J22" s="3"/>
      <c r="K22" s="3">
        <f t="shared" si="2"/>
        <v>0</v>
      </c>
      <c r="L22" s="3"/>
      <c r="M22" s="3">
        <v>0</v>
      </c>
      <c r="N22" s="1"/>
      <c r="O22" s="3">
        <v>0</v>
      </c>
      <c r="P22" s="3"/>
      <c r="Q22" s="3">
        <v>0</v>
      </c>
      <c r="R22" s="3"/>
      <c r="S22" s="3">
        <v>0</v>
      </c>
      <c r="T22" s="3"/>
      <c r="U22" s="3">
        <v>0</v>
      </c>
      <c r="V22" s="3"/>
      <c r="W22" s="3">
        <v>0</v>
      </c>
      <c r="X22" s="27"/>
      <c r="Y22" s="3">
        <v>0</v>
      </c>
      <c r="Z22" s="3"/>
      <c r="AA22" s="3">
        <f t="shared" si="0"/>
        <v>0</v>
      </c>
      <c r="AB22" s="3"/>
      <c r="AC22" s="3">
        <v>0</v>
      </c>
      <c r="AD22" s="3"/>
      <c r="AE22" s="3">
        <f t="shared" si="1"/>
        <v>0</v>
      </c>
      <c r="AF22" s="3"/>
    </row>
    <row r="23" spans="1:32">
      <c r="A23" s="3" t="s">
        <v>365</v>
      </c>
      <c r="B23" s="13"/>
      <c r="C23" s="13" t="s">
        <v>158</v>
      </c>
      <c r="E23" s="3">
        <v>1243998</v>
      </c>
      <c r="F23" s="3"/>
      <c r="G23" s="3">
        <v>993447</v>
      </c>
      <c r="H23" s="3"/>
      <c r="I23" s="3">
        <v>13000</v>
      </c>
      <c r="J23" s="3"/>
      <c r="K23" s="3">
        <f t="shared" si="2"/>
        <v>2250445</v>
      </c>
      <c r="L23" s="3"/>
      <c r="M23" s="3">
        <v>1942682</v>
      </c>
      <c r="N23" s="1"/>
      <c r="O23" s="3">
        <v>3833575</v>
      </c>
      <c r="P23" s="3"/>
      <c r="Q23" s="3">
        <v>36812</v>
      </c>
      <c r="R23" s="3"/>
      <c r="S23" s="3">
        <v>0</v>
      </c>
      <c r="T23" s="3"/>
      <c r="U23" s="3">
        <v>0</v>
      </c>
      <c r="V23" s="3"/>
      <c r="W23" s="3">
        <v>42456</v>
      </c>
      <c r="X23" s="27"/>
      <c r="Y23" s="3">
        <v>0</v>
      </c>
      <c r="Z23" s="3"/>
      <c r="AA23" s="3">
        <f t="shared" ref="AA23:AA64" si="3">SUM(M23:Y23)</f>
        <v>5855525</v>
      </c>
      <c r="AB23" s="3"/>
      <c r="AC23" s="3">
        <v>0</v>
      </c>
      <c r="AD23" s="3"/>
      <c r="AE23" s="3">
        <f t="shared" si="1"/>
        <v>8105970</v>
      </c>
      <c r="AF23" s="3"/>
    </row>
    <row r="24" spans="1:32">
      <c r="A24" s="3" t="s">
        <v>245</v>
      </c>
      <c r="B24" s="13"/>
      <c r="C24" s="13" t="s">
        <v>209</v>
      </c>
      <c r="E24" s="3">
        <v>91295</v>
      </c>
      <c r="F24" s="3"/>
      <c r="G24" s="3">
        <v>332940</v>
      </c>
      <c r="H24" s="3"/>
      <c r="I24" s="3">
        <v>0</v>
      </c>
      <c r="J24" s="3"/>
      <c r="K24" s="3">
        <f t="shared" si="2"/>
        <v>424235</v>
      </c>
      <c r="L24" s="3"/>
      <c r="M24" s="3">
        <f>1338906+80200</f>
        <v>1419106</v>
      </c>
      <c r="N24" s="1"/>
      <c r="O24" s="3">
        <v>2136276</v>
      </c>
      <c r="P24" s="3"/>
      <c r="Q24" s="3">
        <v>9571</v>
      </c>
      <c r="R24" s="3"/>
      <c r="S24" s="3">
        <v>0</v>
      </c>
      <c r="T24" s="3"/>
      <c r="U24" s="3">
        <v>0</v>
      </c>
      <c r="V24" s="3"/>
      <c r="W24" s="3">
        <v>34369</v>
      </c>
      <c r="X24" s="27"/>
      <c r="Y24" s="3">
        <v>0</v>
      </c>
      <c r="Z24" s="3"/>
      <c r="AA24" s="3">
        <f t="shared" si="3"/>
        <v>3599322</v>
      </c>
      <c r="AB24" s="3"/>
      <c r="AC24" s="3">
        <v>0</v>
      </c>
      <c r="AD24" s="3"/>
      <c r="AE24" s="3">
        <f t="shared" si="1"/>
        <v>4023557</v>
      </c>
      <c r="AF24" s="3"/>
    </row>
    <row r="25" spans="1:32">
      <c r="A25" s="3" t="s">
        <v>243</v>
      </c>
      <c r="B25" s="13"/>
      <c r="C25" s="13" t="s">
        <v>159</v>
      </c>
      <c r="E25" s="3">
        <v>1735187</v>
      </c>
      <c r="F25" s="3"/>
      <c r="G25" s="3">
        <v>587762</v>
      </c>
      <c r="H25" s="3"/>
      <c r="I25" s="3">
        <v>0</v>
      </c>
      <c r="J25" s="3"/>
      <c r="K25" s="3">
        <f t="shared" si="2"/>
        <v>2322949</v>
      </c>
      <c r="L25" s="3"/>
      <c r="M25" s="3">
        <v>10346178</v>
      </c>
      <c r="N25" s="1"/>
      <c r="O25" s="3">
        <v>3761194</v>
      </c>
      <c r="P25" s="3"/>
      <c r="Q25" s="3">
        <v>48977</v>
      </c>
      <c r="R25" s="3"/>
      <c r="S25" s="3">
        <v>0</v>
      </c>
      <c r="T25" s="3"/>
      <c r="U25" s="3">
        <v>0</v>
      </c>
      <c r="V25" s="3"/>
      <c r="W25" s="3">
        <v>112492</v>
      </c>
      <c r="X25" s="27"/>
      <c r="Y25" s="3">
        <v>0</v>
      </c>
      <c r="Z25" s="3"/>
      <c r="AA25" s="3">
        <f t="shared" si="3"/>
        <v>14268841</v>
      </c>
      <c r="AB25" s="3"/>
      <c r="AC25" s="3">
        <v>0</v>
      </c>
      <c r="AD25" s="3"/>
      <c r="AE25" s="3">
        <f t="shared" si="1"/>
        <v>16591790</v>
      </c>
      <c r="AF25" s="3"/>
    </row>
    <row r="26" spans="1:32">
      <c r="A26" s="3" t="s">
        <v>242</v>
      </c>
      <c r="B26" s="13"/>
      <c r="C26" s="13" t="s">
        <v>161</v>
      </c>
      <c r="E26" s="3">
        <v>1924238</v>
      </c>
      <c r="F26" s="3"/>
      <c r="G26" s="3">
        <v>853631</v>
      </c>
      <c r="H26" s="3"/>
      <c r="I26" s="3">
        <v>0</v>
      </c>
      <c r="J26" s="3"/>
      <c r="K26" s="3">
        <f t="shared" si="2"/>
        <v>2777869</v>
      </c>
      <c r="L26" s="3"/>
      <c r="M26" s="3">
        <f>9337189+1312974</f>
        <v>10650163</v>
      </c>
      <c r="N26" s="1"/>
      <c r="O26" s="3">
        <v>4055738</v>
      </c>
      <c r="P26" s="3"/>
      <c r="Q26" s="3">
        <v>152861</v>
      </c>
      <c r="R26" s="3"/>
      <c r="S26" s="3">
        <v>10135</v>
      </c>
      <c r="T26" s="3"/>
      <c r="U26" s="3">
        <v>0</v>
      </c>
      <c r="V26" s="3"/>
      <c r="W26" s="3">
        <v>86579</v>
      </c>
      <c r="X26" s="27"/>
      <c r="Y26" s="3">
        <v>0</v>
      </c>
      <c r="Z26" s="3"/>
      <c r="AA26" s="3">
        <f t="shared" si="3"/>
        <v>14955476</v>
      </c>
      <c r="AB26" s="3"/>
      <c r="AC26" s="3">
        <v>0</v>
      </c>
      <c r="AD26" s="3"/>
      <c r="AE26" s="3">
        <f>+AA26+K26+AC26</f>
        <v>17733345</v>
      </c>
      <c r="AF26" s="3"/>
    </row>
    <row r="27" spans="1:32">
      <c r="A27" s="3" t="s">
        <v>367</v>
      </c>
      <c r="B27" s="13"/>
      <c r="C27" s="13" t="s">
        <v>164</v>
      </c>
      <c r="E27" s="3">
        <v>754999</v>
      </c>
      <c r="F27" s="3"/>
      <c r="G27" s="3">
        <v>1523983</v>
      </c>
      <c r="H27" s="3"/>
      <c r="I27" s="3">
        <v>0</v>
      </c>
      <c r="J27" s="3"/>
      <c r="K27" s="3">
        <f t="shared" si="2"/>
        <v>2278982</v>
      </c>
      <c r="L27" s="3"/>
      <c r="M27" s="3">
        <v>12366603</v>
      </c>
      <c r="N27" s="1"/>
      <c r="O27" s="3">
        <v>6072466</v>
      </c>
      <c r="P27" s="3"/>
      <c r="Q27" s="3">
        <v>63192</v>
      </c>
      <c r="R27" s="3"/>
      <c r="S27" s="3">
        <v>1397</v>
      </c>
      <c r="T27" s="3"/>
      <c r="U27" s="3">
        <v>18936</v>
      </c>
      <c r="V27" s="3"/>
      <c r="W27" s="3">
        <v>43824</v>
      </c>
      <c r="X27" s="27"/>
      <c r="Y27" s="3">
        <v>0</v>
      </c>
      <c r="Z27" s="3"/>
      <c r="AA27" s="3">
        <f t="shared" si="3"/>
        <v>18566418</v>
      </c>
      <c r="AB27" s="3"/>
      <c r="AC27" s="3">
        <v>0</v>
      </c>
      <c r="AD27" s="3"/>
      <c r="AE27" s="3">
        <f t="shared" si="1"/>
        <v>20845400</v>
      </c>
      <c r="AF27" s="3"/>
    </row>
    <row r="28" spans="1:32">
      <c r="A28" s="3" t="s">
        <v>244</v>
      </c>
      <c r="B28" s="13"/>
      <c r="C28" s="13" t="s">
        <v>162</v>
      </c>
      <c r="E28" s="3">
        <v>2901931</v>
      </c>
      <c r="F28" s="3"/>
      <c r="G28" s="3">
        <v>3110478</v>
      </c>
      <c r="H28" s="3"/>
      <c r="I28" s="3">
        <v>0</v>
      </c>
      <c r="J28" s="3"/>
      <c r="K28" s="3">
        <f t="shared" si="2"/>
        <v>6012409</v>
      </c>
      <c r="L28" s="3"/>
      <c r="M28" s="3">
        <v>6600741</v>
      </c>
      <c r="N28" s="1"/>
      <c r="O28" s="3">
        <v>5654067</v>
      </c>
      <c r="P28" s="3"/>
      <c r="Q28" s="3">
        <v>9067</v>
      </c>
      <c r="R28" s="3"/>
      <c r="S28" s="3">
        <v>0</v>
      </c>
      <c r="T28" s="3"/>
      <c r="U28" s="3">
        <v>0</v>
      </c>
      <c r="V28" s="3"/>
      <c r="W28" s="3">
        <v>106162</v>
      </c>
      <c r="X28" s="27"/>
      <c r="Y28" s="3">
        <v>0</v>
      </c>
      <c r="Z28" s="3"/>
      <c r="AA28" s="3">
        <f t="shared" si="3"/>
        <v>12370037</v>
      </c>
      <c r="AB28" s="3"/>
      <c r="AC28" s="3">
        <v>0</v>
      </c>
      <c r="AD28" s="3"/>
      <c r="AE28" s="3">
        <f t="shared" si="1"/>
        <v>18382446</v>
      </c>
      <c r="AF28" s="3"/>
    </row>
    <row r="29" spans="1:32">
      <c r="A29" s="3" t="s">
        <v>246</v>
      </c>
      <c r="B29" s="13"/>
      <c r="C29" s="13" t="s">
        <v>211</v>
      </c>
      <c r="E29" s="3">
        <v>1722841</v>
      </c>
      <c r="F29" s="3"/>
      <c r="G29" s="3">
        <v>2958384</v>
      </c>
      <c r="H29" s="3"/>
      <c r="I29" s="3">
        <v>0</v>
      </c>
      <c r="J29" s="3"/>
      <c r="K29" s="3">
        <f t="shared" si="2"/>
        <v>4681225</v>
      </c>
      <c r="L29" s="3"/>
      <c r="M29" s="3">
        <f>5303241+289649</f>
        <v>5592890</v>
      </c>
      <c r="N29" s="1"/>
      <c r="O29" s="3">
        <v>6746401</v>
      </c>
      <c r="P29" s="3"/>
      <c r="Q29" s="3">
        <v>41848</v>
      </c>
      <c r="R29" s="3"/>
      <c r="S29" s="3">
        <v>0</v>
      </c>
      <c r="T29" s="3"/>
      <c r="U29" s="3">
        <v>100732</v>
      </c>
      <c r="V29" s="3"/>
      <c r="W29" s="3">
        <f>11518+3210</f>
        <v>14728</v>
      </c>
      <c r="X29" s="27"/>
      <c r="Y29" s="3">
        <v>0</v>
      </c>
      <c r="Z29" s="3"/>
      <c r="AA29" s="3">
        <f t="shared" si="3"/>
        <v>12496599</v>
      </c>
      <c r="AB29" s="3"/>
      <c r="AC29" s="3">
        <v>0</v>
      </c>
      <c r="AD29" s="3"/>
      <c r="AE29" s="3">
        <f>+AA29+K29+AC29</f>
        <v>17177824</v>
      </c>
      <c r="AF29" s="3"/>
    </row>
    <row r="30" spans="1:32">
      <c r="A30" s="3" t="s">
        <v>210</v>
      </c>
      <c r="B30" s="13"/>
      <c r="C30" s="13" t="s">
        <v>167</v>
      </c>
      <c r="E30" s="3">
        <v>281716</v>
      </c>
      <c r="F30" s="3"/>
      <c r="G30" s="3">
        <v>4452380</v>
      </c>
      <c r="H30" s="3"/>
      <c r="I30" s="3">
        <v>24324</v>
      </c>
      <c r="J30" s="3"/>
      <c r="K30" s="3">
        <f t="shared" si="2"/>
        <v>4758420</v>
      </c>
      <c r="L30" s="3"/>
      <c r="M30" s="3">
        <v>2494241</v>
      </c>
      <c r="N30" s="1"/>
      <c r="O30" s="3">
        <v>2750314</v>
      </c>
      <c r="P30" s="3"/>
      <c r="Q30" s="3">
        <v>150952</v>
      </c>
      <c r="R30" s="3"/>
      <c r="S30" s="3">
        <v>0</v>
      </c>
      <c r="T30" s="3"/>
      <c r="U30" s="3">
        <v>22329</v>
      </c>
      <c r="V30" s="3"/>
      <c r="W30" s="3">
        <v>32250</v>
      </c>
      <c r="X30" s="27"/>
      <c r="Y30" s="3">
        <v>0</v>
      </c>
      <c r="Z30" s="3"/>
      <c r="AA30" s="3">
        <f t="shared" si="3"/>
        <v>5450086</v>
      </c>
      <c r="AB30" s="3"/>
      <c r="AC30" s="3">
        <v>0</v>
      </c>
      <c r="AD30" s="3"/>
      <c r="AE30" s="3">
        <f>+AA30+K30+AC30</f>
        <v>10208506</v>
      </c>
      <c r="AF30" s="3"/>
    </row>
    <row r="31" spans="1:32" s="25" customFormat="1">
      <c r="A31" s="3" t="s">
        <v>368</v>
      </c>
      <c r="B31" s="22"/>
      <c r="C31" s="22" t="s">
        <v>170</v>
      </c>
      <c r="E31" s="1">
        <v>4729158</v>
      </c>
      <c r="F31" s="1"/>
      <c r="G31" s="1">
        <v>4542074</v>
      </c>
      <c r="H31" s="1"/>
      <c r="I31" s="1">
        <v>0</v>
      </c>
      <c r="J31" s="1"/>
      <c r="K31" s="1">
        <f t="shared" si="2"/>
        <v>9271232</v>
      </c>
      <c r="L31" s="1"/>
      <c r="M31" s="1">
        <v>34641281</v>
      </c>
      <c r="N31" s="1"/>
      <c r="O31" s="1">
        <v>21517807</v>
      </c>
      <c r="P31" s="1"/>
      <c r="Q31" s="1">
        <v>210071</v>
      </c>
      <c r="R31" s="1"/>
      <c r="S31" s="1">
        <v>876407</v>
      </c>
      <c r="T31" s="1"/>
      <c r="U31" s="1">
        <v>0</v>
      </c>
      <c r="V31" s="1"/>
      <c r="W31" s="1">
        <v>556530</v>
      </c>
      <c r="X31" s="67"/>
      <c r="Y31" s="1">
        <v>0</v>
      </c>
      <c r="Z31" s="1"/>
      <c r="AA31" s="1">
        <f t="shared" si="3"/>
        <v>57802096</v>
      </c>
      <c r="AB31" s="1"/>
      <c r="AC31" s="1">
        <v>0</v>
      </c>
      <c r="AD31" s="1"/>
      <c r="AE31" s="1">
        <f t="shared" si="1"/>
        <v>67073328</v>
      </c>
      <c r="AF31" s="1"/>
    </row>
    <row r="32" spans="1:32">
      <c r="A32" s="3" t="s">
        <v>321</v>
      </c>
      <c r="B32" s="13"/>
      <c r="C32" s="13" t="s">
        <v>169</v>
      </c>
      <c r="E32" s="3">
        <v>1173418</v>
      </c>
      <c r="F32" s="3"/>
      <c r="G32" s="3">
        <v>2376896</v>
      </c>
      <c r="H32" s="3"/>
      <c r="I32" s="3">
        <v>364928</v>
      </c>
      <c r="J32" s="3"/>
      <c r="K32" s="3">
        <f t="shared" si="2"/>
        <v>3915242</v>
      </c>
      <c r="L32" s="3"/>
      <c r="M32" s="3">
        <v>9228321</v>
      </c>
      <c r="N32" s="1"/>
      <c r="O32" s="3">
        <v>3668544</v>
      </c>
      <c r="P32" s="3"/>
      <c r="Q32" s="3">
        <v>8095</v>
      </c>
      <c r="R32" s="3"/>
      <c r="S32" s="3">
        <v>0</v>
      </c>
      <c r="T32" s="3"/>
      <c r="U32" s="3">
        <v>0</v>
      </c>
      <c r="V32" s="3"/>
      <c r="W32" s="3">
        <v>211948</v>
      </c>
      <c r="X32" s="27"/>
      <c r="Y32" s="3">
        <v>0</v>
      </c>
      <c r="Z32" s="3"/>
      <c r="AA32" s="3">
        <f t="shared" si="3"/>
        <v>13116908</v>
      </c>
      <c r="AB32" s="3"/>
      <c r="AC32" s="3">
        <v>0</v>
      </c>
      <c r="AD32" s="3"/>
      <c r="AE32" s="3">
        <f t="shared" si="1"/>
        <v>17032150</v>
      </c>
      <c r="AF32" s="3"/>
    </row>
    <row r="33" spans="1:33">
      <c r="A33" s="3" t="s">
        <v>212</v>
      </c>
      <c r="B33" s="13"/>
      <c r="C33" s="13" t="s">
        <v>172</v>
      </c>
      <c r="E33" s="3">
        <v>737851</v>
      </c>
      <c r="F33" s="3"/>
      <c r="G33" s="3">
        <v>595401</v>
      </c>
      <c r="H33" s="3"/>
      <c r="I33" s="3">
        <v>0</v>
      </c>
      <c r="J33" s="3"/>
      <c r="K33" s="3">
        <f t="shared" si="2"/>
        <v>1333252</v>
      </c>
      <c r="L33" s="3"/>
      <c r="M33" s="3">
        <f>1429649+59375</f>
        <v>1489024</v>
      </c>
      <c r="N33" s="1"/>
      <c r="O33" s="3">
        <v>2604619</v>
      </c>
      <c r="P33" s="3"/>
      <c r="Q33" s="3">
        <v>18322</v>
      </c>
      <c r="R33" s="3"/>
      <c r="S33" s="3">
        <v>0</v>
      </c>
      <c r="T33" s="3"/>
      <c r="U33" s="3">
        <v>4350</v>
      </c>
      <c r="V33" s="3"/>
      <c r="W33" s="3">
        <v>10846</v>
      </c>
      <c r="X33" s="27"/>
      <c r="Y33" s="3">
        <v>0</v>
      </c>
      <c r="Z33" s="3"/>
      <c r="AA33" s="3">
        <f t="shared" si="3"/>
        <v>4127161</v>
      </c>
      <c r="AB33" s="3"/>
      <c r="AC33" s="3">
        <v>0</v>
      </c>
      <c r="AD33" s="3"/>
      <c r="AE33" s="3">
        <f t="shared" si="1"/>
        <v>5460413</v>
      </c>
      <c r="AF33" s="3"/>
    </row>
    <row r="34" spans="1:33">
      <c r="A34" s="3" t="s">
        <v>247</v>
      </c>
      <c r="B34" s="13"/>
      <c r="C34" s="13" t="s">
        <v>173</v>
      </c>
      <c r="E34" s="3">
        <v>2233444</v>
      </c>
      <c r="F34" s="3"/>
      <c r="G34" s="3">
        <v>700157</v>
      </c>
      <c r="H34" s="3"/>
      <c r="I34" s="3">
        <v>0</v>
      </c>
      <c r="J34" s="3"/>
      <c r="K34" s="3">
        <f t="shared" si="2"/>
        <v>2933601</v>
      </c>
      <c r="L34" s="3"/>
      <c r="M34" s="3">
        <v>3170138</v>
      </c>
      <c r="N34" s="1"/>
      <c r="O34" s="3">
        <v>5826418</v>
      </c>
      <c r="P34" s="3"/>
      <c r="Q34" s="3">
        <v>93108</v>
      </c>
      <c r="R34" s="3"/>
      <c r="S34" s="3">
        <v>75053</v>
      </c>
      <c r="T34" s="3"/>
      <c r="U34" s="3">
        <v>0</v>
      </c>
      <c r="V34" s="3"/>
      <c r="W34" s="3">
        <v>26468</v>
      </c>
      <c r="X34" s="27"/>
      <c r="Y34" s="3">
        <v>0</v>
      </c>
      <c r="Z34" s="3"/>
      <c r="AA34" s="3">
        <f t="shared" si="3"/>
        <v>9191185</v>
      </c>
      <c r="AB34" s="3"/>
      <c r="AC34" s="3">
        <v>-896751</v>
      </c>
      <c r="AD34" s="3"/>
      <c r="AE34" s="3">
        <f>+AA34+K34+AC34</f>
        <v>11228035</v>
      </c>
      <c r="AF34" s="3"/>
    </row>
    <row r="35" spans="1:33">
      <c r="A35" s="3" t="s">
        <v>213</v>
      </c>
      <c r="B35" s="13"/>
      <c r="C35" s="13" t="s">
        <v>174</v>
      </c>
      <c r="E35" s="3">
        <v>2576239</v>
      </c>
      <c r="F35" s="3"/>
      <c r="G35" s="3">
        <v>5166720</v>
      </c>
      <c r="H35" s="3"/>
      <c r="I35" s="3">
        <v>0</v>
      </c>
      <c r="J35" s="3"/>
      <c r="K35" s="3">
        <f t="shared" si="2"/>
        <v>7742959</v>
      </c>
      <c r="L35" s="3"/>
      <c r="M35" s="3">
        <v>1804815</v>
      </c>
      <c r="N35" s="1"/>
      <c r="O35" s="3">
        <v>3521211</v>
      </c>
      <c r="P35" s="3"/>
      <c r="Q35" s="3">
        <v>49610</v>
      </c>
      <c r="R35" s="3"/>
      <c r="S35" s="3">
        <v>0</v>
      </c>
      <c r="T35" s="3"/>
      <c r="U35" s="3">
        <v>0</v>
      </c>
      <c r="V35" s="3"/>
      <c r="W35" s="3">
        <v>321989</v>
      </c>
      <c r="X35" s="27"/>
      <c r="Y35" s="3">
        <v>0</v>
      </c>
      <c r="Z35" s="3"/>
      <c r="AA35" s="3">
        <f t="shared" si="3"/>
        <v>5697625</v>
      </c>
      <c r="AB35" s="3"/>
      <c r="AC35" s="3">
        <v>0</v>
      </c>
      <c r="AD35" s="3"/>
      <c r="AE35" s="3">
        <f t="shared" si="1"/>
        <v>13440584</v>
      </c>
      <c r="AF35" s="3"/>
    </row>
    <row r="36" spans="1:33" hidden="1">
      <c r="A36" s="3" t="s">
        <v>289</v>
      </c>
      <c r="B36" s="13"/>
      <c r="C36" s="13" t="s">
        <v>175</v>
      </c>
      <c r="E36" s="3">
        <v>0</v>
      </c>
      <c r="F36" s="3"/>
      <c r="G36" s="3">
        <v>0</v>
      </c>
      <c r="H36" s="3"/>
      <c r="I36" s="3">
        <v>0</v>
      </c>
      <c r="J36" s="3"/>
      <c r="K36" s="3">
        <f t="shared" si="2"/>
        <v>0</v>
      </c>
      <c r="L36" s="3"/>
      <c r="M36" s="3">
        <v>0</v>
      </c>
      <c r="N36" s="1"/>
      <c r="O36" s="3">
        <v>0</v>
      </c>
      <c r="P36" s="3"/>
      <c r="Q36" s="3">
        <v>0</v>
      </c>
      <c r="R36" s="3"/>
      <c r="S36" s="3">
        <v>0</v>
      </c>
      <c r="T36" s="3"/>
      <c r="U36" s="3">
        <v>0</v>
      </c>
      <c r="V36" s="3"/>
      <c r="W36" s="3">
        <v>0</v>
      </c>
      <c r="X36" s="27"/>
      <c r="Y36" s="3">
        <v>0</v>
      </c>
      <c r="Z36" s="3"/>
      <c r="AA36" s="3">
        <f t="shared" si="3"/>
        <v>0</v>
      </c>
      <c r="AB36" s="3"/>
      <c r="AC36" s="3">
        <v>0</v>
      </c>
      <c r="AD36" s="3"/>
      <c r="AE36" s="3">
        <f t="shared" si="1"/>
        <v>0</v>
      </c>
      <c r="AF36" s="3"/>
    </row>
    <row r="37" spans="1:33">
      <c r="A37" s="3" t="s">
        <v>215</v>
      </c>
      <c r="B37" s="13"/>
      <c r="C37" s="13" t="s">
        <v>144</v>
      </c>
      <c r="E37" s="3">
        <v>1527453</v>
      </c>
      <c r="F37" s="3"/>
      <c r="G37" s="3">
        <v>1858888</v>
      </c>
      <c r="H37" s="3"/>
      <c r="I37" s="3">
        <v>6705</v>
      </c>
      <c r="J37" s="3"/>
      <c r="K37" s="3">
        <f t="shared" si="2"/>
        <v>3393046</v>
      </c>
      <c r="L37" s="3"/>
      <c r="M37" s="3">
        <v>11140954</v>
      </c>
      <c r="N37" s="1"/>
      <c r="O37" s="3">
        <v>9188421</v>
      </c>
      <c r="P37" s="3"/>
      <c r="Q37" s="3">
        <v>37025</v>
      </c>
      <c r="R37" s="3"/>
      <c r="S37" s="3">
        <v>0</v>
      </c>
      <c r="T37" s="3"/>
      <c r="U37" s="3">
        <v>0</v>
      </c>
      <c r="V37" s="3"/>
      <c r="W37" s="3">
        <v>530028</v>
      </c>
      <c r="X37" s="27"/>
      <c r="Y37" s="3">
        <v>0</v>
      </c>
      <c r="Z37" s="3"/>
      <c r="AA37" s="3">
        <f t="shared" si="3"/>
        <v>20896428</v>
      </c>
      <c r="AB37" s="3"/>
      <c r="AC37" s="3">
        <v>0</v>
      </c>
      <c r="AD37" s="3"/>
      <c r="AE37" s="3">
        <f t="shared" si="1"/>
        <v>24289474</v>
      </c>
      <c r="AF37" s="3"/>
    </row>
    <row r="38" spans="1:33">
      <c r="A38" s="3" t="s">
        <v>369</v>
      </c>
      <c r="B38" s="13"/>
      <c r="C38" s="13" t="s">
        <v>178</v>
      </c>
      <c r="E38" s="3">
        <v>1271407</v>
      </c>
      <c r="F38" s="3"/>
      <c r="G38" s="3">
        <v>831015</v>
      </c>
      <c r="H38" s="3"/>
      <c r="I38" s="3">
        <v>0</v>
      </c>
      <c r="J38" s="3"/>
      <c r="K38" s="3">
        <f t="shared" si="2"/>
        <v>2102422</v>
      </c>
      <c r="L38" s="3"/>
      <c r="M38" s="3">
        <v>5997206</v>
      </c>
      <c r="N38" s="1"/>
      <c r="O38" s="3">
        <v>4127303</v>
      </c>
      <c r="P38" s="3"/>
      <c r="Q38" s="3">
        <v>308941</v>
      </c>
      <c r="R38" s="3"/>
      <c r="S38" s="3">
        <v>0</v>
      </c>
      <c r="T38" s="3"/>
      <c r="U38" s="3">
        <v>0</v>
      </c>
      <c r="V38" s="3"/>
      <c r="W38" s="3">
        <v>68952</v>
      </c>
      <c r="X38" s="27"/>
      <c r="Y38" s="3">
        <v>0</v>
      </c>
      <c r="Z38" s="3"/>
      <c r="AA38" s="3">
        <f t="shared" si="3"/>
        <v>10502402</v>
      </c>
      <c r="AB38" s="3"/>
      <c r="AC38" s="3">
        <v>0</v>
      </c>
      <c r="AD38" s="3"/>
      <c r="AE38" s="3">
        <f t="shared" si="1"/>
        <v>12604824</v>
      </c>
      <c r="AF38" s="3"/>
    </row>
    <row r="39" spans="1:33">
      <c r="A39" s="3" t="s">
        <v>248</v>
      </c>
      <c r="B39" s="13"/>
      <c r="C39" s="13" t="s">
        <v>188</v>
      </c>
      <c r="E39" s="3">
        <v>603811</v>
      </c>
      <c r="F39" s="3"/>
      <c r="G39" s="3">
        <v>572594</v>
      </c>
      <c r="H39" s="3"/>
      <c r="I39" s="3">
        <v>0</v>
      </c>
      <c r="J39" s="3"/>
      <c r="K39" s="3">
        <f t="shared" si="2"/>
        <v>1176405</v>
      </c>
      <c r="L39" s="3"/>
      <c r="M39" s="3">
        <v>6133699</v>
      </c>
      <c r="N39" s="1"/>
      <c r="O39" s="3">
        <v>5690554</v>
      </c>
      <c r="P39" s="3"/>
      <c r="Q39" s="3">
        <v>411996</v>
      </c>
      <c r="R39" s="3"/>
      <c r="S39" s="3">
        <v>0</v>
      </c>
      <c r="T39" s="3"/>
      <c r="U39" s="3">
        <v>0</v>
      </c>
      <c r="V39" s="3"/>
      <c r="W39" s="3">
        <v>49313</v>
      </c>
      <c r="X39" s="27"/>
      <c r="Y39" s="3">
        <v>0</v>
      </c>
      <c r="Z39" s="3"/>
      <c r="AA39" s="3">
        <f t="shared" si="3"/>
        <v>12285562</v>
      </c>
      <c r="AB39" s="3"/>
      <c r="AC39" s="3">
        <v>0</v>
      </c>
      <c r="AD39" s="3"/>
      <c r="AE39" s="3">
        <f t="shared" si="1"/>
        <v>13461967</v>
      </c>
      <c r="AF39" s="3"/>
    </row>
    <row r="40" spans="1:33">
      <c r="A40" s="3" t="s">
        <v>219</v>
      </c>
      <c r="B40" s="13"/>
      <c r="C40" s="13" t="s">
        <v>180</v>
      </c>
      <c r="E40" s="3">
        <v>66778</v>
      </c>
      <c r="F40" s="3"/>
      <c r="G40" s="3">
        <v>493554</v>
      </c>
      <c r="H40" s="3"/>
      <c r="I40" s="3">
        <v>0</v>
      </c>
      <c r="J40" s="3"/>
      <c r="K40" s="3">
        <f t="shared" si="2"/>
        <v>560332</v>
      </c>
      <c r="L40" s="3"/>
      <c r="M40" s="3">
        <v>7677866</v>
      </c>
      <c r="N40" s="1"/>
      <c r="O40" s="3">
        <f>7907642+368078</f>
        <v>8275720</v>
      </c>
      <c r="P40" s="3"/>
      <c r="Q40" s="3">
        <v>5539</v>
      </c>
      <c r="R40" s="3"/>
      <c r="S40" s="3">
        <v>16226</v>
      </c>
      <c r="T40" s="3"/>
      <c r="U40" s="3">
        <v>0</v>
      </c>
      <c r="V40" s="3"/>
      <c r="W40" s="3">
        <v>62294</v>
      </c>
      <c r="X40" s="27"/>
      <c r="Y40" s="3">
        <v>-7000</v>
      </c>
      <c r="Z40" s="3"/>
      <c r="AA40" s="3">
        <f t="shared" si="3"/>
        <v>16030645</v>
      </c>
      <c r="AB40" s="3"/>
      <c r="AC40" s="3">
        <v>0</v>
      </c>
      <c r="AD40" s="3"/>
      <c r="AE40" s="3">
        <f t="shared" si="1"/>
        <v>16590977</v>
      </c>
      <c r="AF40" s="3"/>
    </row>
    <row r="41" spans="1:33">
      <c r="A41" s="3" t="s">
        <v>370</v>
      </c>
      <c r="B41" s="13"/>
      <c r="C41" s="13" t="s">
        <v>183</v>
      </c>
      <c r="E41" s="3">
        <v>2281129</v>
      </c>
      <c r="F41" s="3"/>
      <c r="G41" s="3">
        <v>3637240</v>
      </c>
      <c r="H41" s="3"/>
      <c r="I41" s="3">
        <v>0</v>
      </c>
      <c r="J41" s="3"/>
      <c r="K41" s="3">
        <f t="shared" si="2"/>
        <v>5918369</v>
      </c>
      <c r="L41" s="3"/>
      <c r="M41" s="3">
        <v>13459953</v>
      </c>
      <c r="N41" s="1"/>
      <c r="O41" s="3">
        <v>15820582</v>
      </c>
      <c r="P41" s="3"/>
      <c r="Q41" s="3">
        <v>10284</v>
      </c>
      <c r="R41" s="3"/>
      <c r="S41" s="3">
        <v>0</v>
      </c>
      <c r="T41" s="3"/>
      <c r="U41" s="3">
        <v>81334</v>
      </c>
      <c r="V41" s="3"/>
      <c r="W41" s="3">
        <v>320343</v>
      </c>
      <c r="X41" s="27"/>
      <c r="Y41" s="3">
        <v>0</v>
      </c>
      <c r="Z41" s="3"/>
      <c r="AA41" s="3">
        <f t="shared" si="3"/>
        <v>29692496</v>
      </c>
      <c r="AB41" s="3"/>
      <c r="AC41" s="3">
        <v>0</v>
      </c>
      <c r="AD41" s="3"/>
      <c r="AE41" s="3">
        <f t="shared" si="1"/>
        <v>35610865</v>
      </c>
      <c r="AF41" s="3"/>
    </row>
    <row r="42" spans="1:33">
      <c r="A42" s="3" t="s">
        <v>371</v>
      </c>
      <c r="B42" s="13"/>
      <c r="C42" s="13" t="s">
        <v>185</v>
      </c>
      <c r="E42" s="3">
        <v>2791856</v>
      </c>
      <c r="F42" s="3"/>
      <c r="G42" s="3">
        <v>3398126</v>
      </c>
      <c r="H42" s="3"/>
      <c r="I42" s="3">
        <v>500117</v>
      </c>
      <c r="J42" s="3"/>
      <c r="K42" s="3">
        <f t="shared" si="2"/>
        <v>6690099</v>
      </c>
      <c r="L42" s="3"/>
      <c r="M42" s="3">
        <f>5762184+333443+2519995+1099466</f>
        <v>9715088</v>
      </c>
      <c r="N42" s="1"/>
      <c r="O42" s="3">
        <v>7067976</v>
      </c>
      <c r="P42" s="3"/>
      <c r="Q42" s="3">
        <v>167142</v>
      </c>
      <c r="R42" s="3"/>
      <c r="S42" s="3">
        <v>48064</v>
      </c>
      <c r="T42" s="3"/>
      <c r="U42" s="3">
        <v>0</v>
      </c>
      <c r="V42" s="3"/>
      <c r="W42" s="3">
        <v>92641</v>
      </c>
      <c r="X42" s="27"/>
      <c r="Y42" s="3">
        <v>0</v>
      </c>
      <c r="Z42" s="3"/>
      <c r="AA42" s="3">
        <f t="shared" si="3"/>
        <v>17090911</v>
      </c>
      <c r="AB42" s="3"/>
      <c r="AC42" s="3">
        <v>0</v>
      </c>
      <c r="AD42" s="3"/>
      <c r="AE42" s="3">
        <f t="shared" si="1"/>
        <v>23781010</v>
      </c>
      <c r="AF42" s="3"/>
    </row>
    <row r="43" spans="1:33">
      <c r="A43" s="3" t="s">
        <v>214</v>
      </c>
      <c r="B43" s="13"/>
      <c r="C43" s="13" t="s">
        <v>176</v>
      </c>
      <c r="E43" s="3">
        <v>1840545</v>
      </c>
      <c r="F43" s="3"/>
      <c r="G43" s="3">
        <v>1212327</v>
      </c>
      <c r="H43" s="3"/>
      <c r="I43" s="3">
        <v>0</v>
      </c>
      <c r="J43" s="3"/>
      <c r="K43" s="3">
        <f t="shared" si="2"/>
        <v>3052872</v>
      </c>
      <c r="L43" s="3"/>
      <c r="M43" s="3">
        <v>4847763</v>
      </c>
      <c r="N43" s="1"/>
      <c r="O43" s="3">
        <v>6324647</v>
      </c>
      <c r="P43" s="3"/>
      <c r="Q43" s="3">
        <v>18330</v>
      </c>
      <c r="R43" s="3"/>
      <c r="S43" s="3">
        <v>0</v>
      </c>
      <c r="T43" s="3"/>
      <c r="U43" s="3">
        <v>150931</v>
      </c>
      <c r="V43" s="3"/>
      <c r="W43" s="3">
        <v>96540</v>
      </c>
      <c r="X43" s="27"/>
      <c r="Y43" s="3">
        <v>0</v>
      </c>
      <c r="Z43" s="3"/>
      <c r="AA43" s="3">
        <f t="shared" si="3"/>
        <v>11438211</v>
      </c>
      <c r="AB43" s="3"/>
      <c r="AC43" s="3">
        <v>0</v>
      </c>
      <c r="AD43" s="3"/>
      <c r="AE43" s="3">
        <f t="shared" si="1"/>
        <v>14491083</v>
      </c>
      <c r="AF43" s="3"/>
    </row>
    <row r="44" spans="1:33">
      <c r="A44" s="3" t="s">
        <v>328</v>
      </c>
      <c r="B44" s="13"/>
      <c r="C44" s="13" t="s">
        <v>206</v>
      </c>
      <c r="E44" s="3">
        <v>943956</v>
      </c>
      <c r="F44" s="3"/>
      <c r="G44" s="3">
        <v>7328663</v>
      </c>
      <c r="H44" s="3"/>
      <c r="I44" s="3">
        <v>0</v>
      </c>
      <c r="J44" s="3"/>
      <c r="K44" s="3">
        <f t="shared" si="2"/>
        <v>8272619</v>
      </c>
      <c r="L44" s="3"/>
      <c r="M44" s="3">
        <f>9906548+4226993</f>
        <v>14133541</v>
      </c>
      <c r="N44" s="1"/>
      <c r="O44" s="3">
        <v>10782759</v>
      </c>
      <c r="P44" s="3"/>
      <c r="Q44" s="3">
        <v>185289</v>
      </c>
      <c r="R44" s="3"/>
      <c r="S44" s="3">
        <v>292660</v>
      </c>
      <c r="T44" s="3"/>
      <c r="U44" s="3">
        <v>0</v>
      </c>
      <c r="V44" s="3"/>
      <c r="W44" s="3">
        <v>17118</v>
      </c>
      <c r="X44" s="27"/>
      <c r="Y44" s="3">
        <v>0</v>
      </c>
      <c r="Z44" s="3"/>
      <c r="AA44" s="3">
        <f t="shared" si="3"/>
        <v>25411367</v>
      </c>
      <c r="AB44" s="3"/>
      <c r="AC44" s="3">
        <v>0</v>
      </c>
      <c r="AD44" s="3"/>
      <c r="AE44" s="3">
        <f t="shared" si="1"/>
        <v>33683986</v>
      </c>
      <c r="AF44" s="3"/>
    </row>
    <row r="45" spans="1:33">
      <c r="A45" s="3" t="s">
        <v>372</v>
      </c>
      <c r="B45" s="13"/>
      <c r="C45" s="13" t="s">
        <v>192</v>
      </c>
      <c r="E45" s="3">
        <v>2129369</v>
      </c>
      <c r="F45" s="3"/>
      <c r="G45" s="3">
        <v>2640305</v>
      </c>
      <c r="H45" s="3"/>
      <c r="I45" s="3">
        <v>0</v>
      </c>
      <c r="J45" s="3"/>
      <c r="K45" s="3">
        <f t="shared" si="2"/>
        <v>4769674</v>
      </c>
      <c r="L45" s="3"/>
      <c r="M45" s="3">
        <v>4144250</v>
      </c>
      <c r="N45" s="1"/>
      <c r="O45" s="3">
        <v>9808503</v>
      </c>
      <c r="P45" s="3"/>
      <c r="Q45" s="3">
        <v>79575</v>
      </c>
      <c r="R45" s="3"/>
      <c r="S45" s="3">
        <v>588</v>
      </c>
      <c r="T45" s="3"/>
      <c r="U45" s="3">
        <v>0</v>
      </c>
      <c r="V45" s="3"/>
      <c r="W45" s="3">
        <v>181219</v>
      </c>
      <c r="X45" s="27"/>
      <c r="Y45" s="3">
        <v>0</v>
      </c>
      <c r="Z45" s="3"/>
      <c r="AA45" s="3">
        <f t="shared" si="3"/>
        <v>14214135</v>
      </c>
      <c r="AB45" s="3"/>
      <c r="AC45" s="3">
        <v>0</v>
      </c>
      <c r="AD45" s="3"/>
      <c r="AE45" s="3">
        <f t="shared" si="1"/>
        <v>18983809</v>
      </c>
      <c r="AF45" s="3"/>
    </row>
    <row r="46" spans="1:33">
      <c r="A46" s="3" t="s">
        <v>249</v>
      </c>
      <c r="B46" s="13"/>
      <c r="C46" s="13" t="s">
        <v>220</v>
      </c>
      <c r="E46" s="3">
        <v>881328</v>
      </c>
      <c r="F46" s="3"/>
      <c r="G46" s="3">
        <v>1140062</v>
      </c>
      <c r="H46" s="3"/>
      <c r="I46" s="3">
        <v>0</v>
      </c>
      <c r="J46" s="3"/>
      <c r="K46" s="3">
        <f t="shared" si="2"/>
        <v>2021390</v>
      </c>
      <c r="L46" s="3"/>
      <c r="M46" s="3">
        <f>866916+351659</f>
        <v>1218575</v>
      </c>
      <c r="N46" s="1"/>
      <c r="O46" s="3">
        <v>4408085</v>
      </c>
      <c r="P46" s="3"/>
      <c r="Q46" s="3">
        <v>17393</v>
      </c>
      <c r="R46" s="3"/>
      <c r="S46" s="3">
        <v>496</v>
      </c>
      <c r="T46" s="3"/>
      <c r="U46" s="3">
        <v>4706</v>
      </c>
      <c r="V46" s="3"/>
      <c r="W46" s="3">
        <v>86143</v>
      </c>
      <c r="X46" s="27"/>
      <c r="Y46" s="3">
        <v>0</v>
      </c>
      <c r="Z46" s="3"/>
      <c r="AA46" s="3">
        <f t="shared" si="3"/>
        <v>5735398</v>
      </c>
      <c r="AB46" s="3"/>
      <c r="AC46" s="3">
        <v>0</v>
      </c>
      <c r="AD46" s="3"/>
      <c r="AE46" s="3">
        <f t="shared" ref="AE46:AE64" si="4">+AA46+K46</f>
        <v>7756788</v>
      </c>
      <c r="AF46" s="3"/>
    </row>
    <row r="47" spans="1:33">
      <c r="A47" s="3" t="s">
        <v>373</v>
      </c>
      <c r="B47" s="13"/>
      <c r="C47" s="13" t="s">
        <v>191</v>
      </c>
      <c r="E47" s="3">
        <v>847851</v>
      </c>
      <c r="F47" s="3"/>
      <c r="G47" s="3">
        <v>2068062</v>
      </c>
      <c r="H47" s="3"/>
      <c r="I47" s="3">
        <v>0</v>
      </c>
      <c r="J47" s="3"/>
      <c r="K47" s="3">
        <f t="shared" si="2"/>
        <v>2915913</v>
      </c>
      <c r="L47" s="3"/>
      <c r="M47" s="3">
        <v>4138498</v>
      </c>
      <c r="N47" s="1"/>
      <c r="O47" s="3">
        <f>9852133+268445</f>
        <v>10120578</v>
      </c>
      <c r="P47" s="3"/>
      <c r="Q47" s="3">
        <v>118025</v>
      </c>
      <c r="R47" s="3"/>
      <c r="S47" s="3">
        <v>0</v>
      </c>
      <c r="T47" s="3"/>
      <c r="U47" s="3">
        <v>0</v>
      </c>
      <c r="V47" s="3"/>
      <c r="W47" s="3">
        <v>194787</v>
      </c>
      <c r="X47" s="27"/>
      <c r="Y47" s="3">
        <v>0</v>
      </c>
      <c r="Z47" s="3"/>
      <c r="AA47" s="3">
        <f t="shared" si="3"/>
        <v>14571888</v>
      </c>
      <c r="AB47" s="3"/>
      <c r="AC47" s="3">
        <v>0</v>
      </c>
      <c r="AD47" s="3"/>
      <c r="AE47" s="3">
        <f t="shared" si="4"/>
        <v>17487801</v>
      </c>
      <c r="AF47" s="3"/>
    </row>
    <row r="48" spans="1:33">
      <c r="A48" s="3" t="s">
        <v>250</v>
      </c>
      <c r="B48" s="13"/>
      <c r="C48" s="13" t="s">
        <v>159</v>
      </c>
      <c r="E48" s="3">
        <v>148365</v>
      </c>
      <c r="F48" s="3"/>
      <c r="G48" s="3">
        <v>903983</v>
      </c>
      <c r="H48" s="3"/>
      <c r="I48" s="3">
        <v>0</v>
      </c>
      <c r="J48" s="3"/>
      <c r="K48" s="3">
        <f t="shared" si="2"/>
        <v>1052348</v>
      </c>
      <c r="L48" s="3"/>
      <c r="M48" s="3">
        <v>9054471</v>
      </c>
      <c r="N48" s="1"/>
      <c r="O48" s="3">
        <v>4140328</v>
      </c>
      <c r="P48" s="3"/>
      <c r="Q48" s="3">
        <v>41531</v>
      </c>
      <c r="R48" s="3"/>
      <c r="S48" s="3">
        <v>0</v>
      </c>
      <c r="T48" s="3"/>
      <c r="U48" s="3">
        <v>0</v>
      </c>
      <c r="V48" s="3"/>
      <c r="W48" s="3">
        <v>110744</v>
      </c>
      <c r="X48" s="27"/>
      <c r="Y48" s="3">
        <v>-25375</v>
      </c>
      <c r="Z48" s="3"/>
      <c r="AA48" s="3">
        <f t="shared" si="3"/>
        <v>13321699</v>
      </c>
      <c r="AB48" s="3"/>
      <c r="AC48" s="3">
        <v>0</v>
      </c>
      <c r="AD48" s="3"/>
      <c r="AE48" s="3">
        <f t="shared" si="4"/>
        <v>14374047</v>
      </c>
      <c r="AF48" s="3"/>
      <c r="AG48" s="68"/>
    </row>
    <row r="49" spans="1:32">
      <c r="A49" s="3" t="s">
        <v>251</v>
      </c>
      <c r="B49" s="13"/>
      <c r="C49" s="13" t="s">
        <v>198</v>
      </c>
      <c r="E49" s="3">
        <v>1551957</v>
      </c>
      <c r="F49" s="3"/>
      <c r="G49" s="3">
        <v>815720</v>
      </c>
      <c r="H49" s="3"/>
      <c r="I49" s="3">
        <v>0</v>
      </c>
      <c r="J49" s="3"/>
      <c r="K49" s="3">
        <f t="shared" si="2"/>
        <v>2367677</v>
      </c>
      <c r="L49" s="3"/>
      <c r="M49" s="3">
        <v>2890138</v>
      </c>
      <c r="N49" s="1"/>
      <c r="O49" s="3">
        <v>2548609</v>
      </c>
      <c r="P49" s="3"/>
      <c r="Q49" s="3">
        <v>41573</v>
      </c>
      <c r="R49" s="3"/>
      <c r="S49" s="3">
        <v>0</v>
      </c>
      <c r="T49" s="3"/>
      <c r="U49" s="3">
        <v>0</v>
      </c>
      <c r="V49" s="3"/>
      <c r="W49" s="3">
        <v>28824</v>
      </c>
      <c r="X49" s="27"/>
      <c r="Y49" s="3">
        <v>0</v>
      </c>
      <c r="Z49" s="3"/>
      <c r="AA49" s="3">
        <f t="shared" si="3"/>
        <v>5509144</v>
      </c>
      <c r="AB49" s="3"/>
      <c r="AC49" s="3">
        <v>0</v>
      </c>
      <c r="AD49" s="3"/>
      <c r="AE49" s="3">
        <f t="shared" si="4"/>
        <v>7876821</v>
      </c>
      <c r="AF49" s="3"/>
    </row>
    <row r="50" spans="1:32">
      <c r="A50" s="3" t="s">
        <v>252</v>
      </c>
      <c r="B50" s="13"/>
      <c r="C50" s="13" t="s">
        <v>194</v>
      </c>
      <c r="E50" s="3">
        <v>2181841</v>
      </c>
      <c r="F50" s="3"/>
      <c r="G50" s="3">
        <v>1466166</v>
      </c>
      <c r="H50" s="3"/>
      <c r="I50" s="3">
        <v>0</v>
      </c>
      <c r="J50" s="3"/>
      <c r="K50" s="3">
        <f t="shared" si="2"/>
        <v>3648007</v>
      </c>
      <c r="L50" s="3"/>
      <c r="M50" s="3">
        <f>1878553+543381</f>
        <v>2421934</v>
      </c>
      <c r="N50" s="1"/>
      <c r="O50" s="3">
        <v>4188469</v>
      </c>
      <c r="P50" s="3"/>
      <c r="Q50" s="3">
        <v>75122</v>
      </c>
      <c r="R50" s="3"/>
      <c r="S50" s="3">
        <v>0</v>
      </c>
      <c r="T50" s="3"/>
      <c r="U50" s="3">
        <v>6079</v>
      </c>
      <c r="V50" s="3"/>
      <c r="W50" s="3">
        <f>6356+99625</f>
        <v>105981</v>
      </c>
      <c r="X50" s="27"/>
      <c r="Y50" s="3">
        <v>0</v>
      </c>
      <c r="Z50" s="3"/>
      <c r="AA50" s="3">
        <f t="shared" si="3"/>
        <v>6797585</v>
      </c>
      <c r="AB50" s="3"/>
      <c r="AC50" s="3">
        <v>0</v>
      </c>
      <c r="AD50" s="3"/>
      <c r="AE50" s="3">
        <f t="shared" si="4"/>
        <v>10445592</v>
      </c>
      <c r="AF50" s="3"/>
    </row>
    <row r="51" spans="1:32">
      <c r="A51" s="3" t="s">
        <v>207</v>
      </c>
      <c r="B51" s="13"/>
      <c r="C51" s="13" t="s">
        <v>152</v>
      </c>
      <c r="E51" s="3">
        <v>294222</v>
      </c>
      <c r="F51" s="3"/>
      <c r="G51" s="3">
        <v>1488410</v>
      </c>
      <c r="H51" s="3"/>
      <c r="I51" s="3">
        <v>0</v>
      </c>
      <c r="J51" s="3"/>
      <c r="K51" s="3">
        <f t="shared" si="2"/>
        <v>1782632</v>
      </c>
      <c r="L51" s="3"/>
      <c r="M51" s="3">
        <f>1643652+157500+451520</f>
        <v>2252672</v>
      </c>
      <c r="N51" s="1"/>
      <c r="O51" s="3">
        <v>2564226</v>
      </c>
      <c r="P51" s="3"/>
      <c r="Q51" s="3">
        <v>75298</v>
      </c>
      <c r="R51" s="3"/>
      <c r="S51" s="3">
        <v>0</v>
      </c>
      <c r="T51" s="3"/>
      <c r="U51" s="3">
        <v>843</v>
      </c>
      <c r="V51" s="3"/>
      <c r="W51" s="3">
        <v>3891</v>
      </c>
      <c r="X51" s="27"/>
      <c r="Y51" s="3">
        <v>0</v>
      </c>
      <c r="Z51" s="3"/>
      <c r="AA51" s="3">
        <f t="shared" si="3"/>
        <v>4896930</v>
      </c>
      <c r="AB51" s="3"/>
      <c r="AC51" s="3">
        <v>0</v>
      </c>
      <c r="AD51" s="3"/>
      <c r="AE51" s="3">
        <f t="shared" si="4"/>
        <v>6679562</v>
      </c>
      <c r="AF51" s="3"/>
    </row>
    <row r="52" spans="1:32">
      <c r="A52" s="3" t="s">
        <v>374</v>
      </c>
      <c r="B52" s="13"/>
      <c r="C52" s="13" t="s">
        <v>154</v>
      </c>
      <c r="E52" s="3">
        <v>239388</v>
      </c>
      <c r="F52" s="3"/>
      <c r="G52" s="3">
        <v>496206</v>
      </c>
      <c r="H52" s="3"/>
      <c r="I52" s="3">
        <v>0</v>
      </c>
      <c r="J52" s="3"/>
      <c r="K52" s="3">
        <f t="shared" si="2"/>
        <v>735594</v>
      </c>
      <c r="L52" s="3"/>
      <c r="M52" s="3">
        <v>4663682</v>
      </c>
      <c r="N52" s="1"/>
      <c r="O52" s="3">
        <v>6609148</v>
      </c>
      <c r="P52" s="3"/>
      <c r="Q52" s="3">
        <v>27038</v>
      </c>
      <c r="R52" s="3"/>
      <c r="S52" s="3">
        <v>0</v>
      </c>
      <c r="T52" s="3"/>
      <c r="U52" s="3">
        <v>0</v>
      </c>
      <c r="V52" s="3"/>
      <c r="W52" s="3">
        <v>3922</v>
      </c>
      <c r="X52" s="27"/>
      <c r="Y52" s="3">
        <v>0</v>
      </c>
      <c r="Z52" s="3"/>
      <c r="AA52" s="3">
        <f t="shared" si="3"/>
        <v>11303790</v>
      </c>
      <c r="AB52" s="3"/>
      <c r="AC52" s="3">
        <v>0</v>
      </c>
      <c r="AD52" s="3"/>
      <c r="AE52" s="3">
        <f t="shared" si="4"/>
        <v>12039384</v>
      </c>
      <c r="AF52" s="3"/>
    </row>
    <row r="53" spans="1:32">
      <c r="A53" s="3" t="s">
        <v>221</v>
      </c>
      <c r="B53" s="13"/>
      <c r="C53" s="13" t="s">
        <v>197</v>
      </c>
      <c r="E53" s="3">
        <v>386023</v>
      </c>
      <c r="F53" s="3"/>
      <c r="G53" s="3">
        <v>634919</v>
      </c>
      <c r="H53" s="3"/>
      <c r="I53" s="3">
        <v>0</v>
      </c>
      <c r="J53" s="3"/>
      <c r="K53" s="3">
        <f>SUM(E53:J53)</f>
        <v>1020942</v>
      </c>
      <c r="L53" s="3"/>
      <c r="M53" s="3">
        <v>2181893</v>
      </c>
      <c r="N53" s="1"/>
      <c r="O53" s="3">
        <v>4615752</v>
      </c>
      <c r="P53" s="3"/>
      <c r="Q53" s="3">
        <v>87244</v>
      </c>
      <c r="R53" s="3"/>
      <c r="S53" s="3">
        <v>0</v>
      </c>
      <c r="T53" s="3"/>
      <c r="U53" s="3">
        <v>0</v>
      </c>
      <c r="V53" s="3"/>
      <c r="W53" s="3">
        <v>29371</v>
      </c>
      <c r="X53" s="27"/>
      <c r="Y53" s="3">
        <v>0</v>
      </c>
      <c r="Z53" s="3"/>
      <c r="AA53" s="3">
        <f t="shared" si="3"/>
        <v>6914260</v>
      </c>
      <c r="AB53" s="3"/>
      <c r="AC53" s="3">
        <v>0</v>
      </c>
      <c r="AD53" s="3"/>
      <c r="AE53" s="3">
        <f>+AA53+K53</f>
        <v>7935202</v>
      </c>
      <c r="AF53" s="3"/>
    </row>
    <row r="54" spans="1:32">
      <c r="A54" s="3" t="s">
        <v>277</v>
      </c>
      <c r="B54" s="13"/>
      <c r="C54" s="13" t="s">
        <v>216</v>
      </c>
      <c r="E54" s="3">
        <v>599419</v>
      </c>
      <c r="F54" s="3"/>
      <c r="G54" s="3">
        <v>702360</v>
      </c>
      <c r="H54" s="3"/>
      <c r="I54" s="3">
        <v>0</v>
      </c>
      <c r="J54" s="3"/>
      <c r="K54" s="3">
        <f>SUM(E54:J54)</f>
        <v>1301779</v>
      </c>
      <c r="L54" s="3"/>
      <c r="M54" s="3">
        <v>9147856</v>
      </c>
      <c r="N54" s="1"/>
      <c r="O54" s="3">
        <v>3305491</v>
      </c>
      <c r="P54" s="3"/>
      <c r="Q54" s="3">
        <v>43321</v>
      </c>
      <c r="R54" s="3"/>
      <c r="S54" s="3">
        <v>0</v>
      </c>
      <c r="T54" s="3"/>
      <c r="U54" s="3">
        <v>0</v>
      </c>
      <c r="V54" s="3"/>
      <c r="W54" s="3">
        <v>345840</v>
      </c>
      <c r="X54" s="27"/>
      <c r="Y54" s="3">
        <v>0</v>
      </c>
      <c r="Z54" s="3"/>
      <c r="AA54" s="3">
        <f t="shared" si="3"/>
        <v>12842508</v>
      </c>
      <c r="AB54" s="3"/>
      <c r="AC54" s="3">
        <v>0</v>
      </c>
      <c r="AD54" s="3"/>
      <c r="AE54" s="3">
        <f t="shared" ref="AE54:AE55" si="5">+AA54+K54</f>
        <v>14144287</v>
      </c>
      <c r="AF54" s="3"/>
    </row>
    <row r="55" spans="1:32">
      <c r="A55" s="3" t="s">
        <v>290</v>
      </c>
      <c r="B55" s="13"/>
      <c r="C55" s="13" t="s">
        <v>147</v>
      </c>
      <c r="E55" s="3">
        <v>46669</v>
      </c>
      <c r="F55" s="3"/>
      <c r="G55" s="3">
        <v>1046090</v>
      </c>
      <c r="H55" s="3"/>
      <c r="I55" s="3">
        <v>0</v>
      </c>
      <c r="J55" s="3"/>
      <c r="K55" s="3">
        <f t="shared" si="2"/>
        <v>1092759</v>
      </c>
      <c r="L55" s="3"/>
      <c r="M55" s="3">
        <v>2995834</v>
      </c>
      <c r="N55" s="1"/>
      <c r="O55" s="3">
        <v>3861922</v>
      </c>
      <c r="P55" s="3"/>
      <c r="Q55" s="3">
        <v>5858</v>
      </c>
      <c r="R55" s="3"/>
      <c r="S55" s="3">
        <v>0</v>
      </c>
      <c r="T55" s="3"/>
      <c r="U55" s="3">
        <v>0</v>
      </c>
      <c r="V55" s="3"/>
      <c r="W55" s="3">
        <v>29834</v>
      </c>
      <c r="X55" s="27"/>
      <c r="Y55" s="3">
        <v>0</v>
      </c>
      <c r="Z55" s="3"/>
      <c r="AA55" s="3">
        <f t="shared" si="3"/>
        <v>6893448</v>
      </c>
      <c r="AB55" s="3"/>
      <c r="AC55" s="3">
        <v>0</v>
      </c>
      <c r="AD55" s="3"/>
      <c r="AE55" s="3">
        <f t="shared" si="5"/>
        <v>7986207</v>
      </c>
      <c r="AF55" s="3"/>
    </row>
    <row r="56" spans="1:32">
      <c r="A56" s="3" t="s">
        <v>217</v>
      </c>
      <c r="B56" s="13"/>
      <c r="C56" s="13" t="s">
        <v>218</v>
      </c>
      <c r="E56" s="3">
        <v>31273</v>
      </c>
      <c r="F56" s="3"/>
      <c r="G56" s="3">
        <v>2837590</v>
      </c>
      <c r="H56" s="3"/>
      <c r="I56" s="3">
        <v>0</v>
      </c>
      <c r="J56" s="3"/>
      <c r="K56" s="3">
        <f t="shared" si="2"/>
        <v>2868863</v>
      </c>
      <c r="L56" s="3"/>
      <c r="M56" s="3">
        <v>3768571</v>
      </c>
      <c r="N56" s="1"/>
      <c r="O56" s="3">
        <v>4355723</v>
      </c>
      <c r="P56" s="3"/>
      <c r="Q56" s="3">
        <v>3394</v>
      </c>
      <c r="R56" s="3"/>
      <c r="S56" s="3">
        <v>9490</v>
      </c>
      <c r="T56" s="3"/>
      <c r="U56" s="3">
        <v>250</v>
      </c>
      <c r="V56" s="3"/>
      <c r="W56" s="3">
        <v>209625</v>
      </c>
      <c r="X56" s="27"/>
      <c r="Y56" s="3">
        <v>12935</v>
      </c>
      <c r="Z56" s="3"/>
      <c r="AA56" s="3">
        <f t="shared" si="3"/>
        <v>8359988</v>
      </c>
      <c r="AB56" s="3"/>
      <c r="AC56" s="3">
        <v>0</v>
      </c>
      <c r="AD56" s="3"/>
      <c r="AE56" s="3">
        <f t="shared" si="4"/>
        <v>11228851</v>
      </c>
      <c r="AF56" s="3"/>
    </row>
    <row r="57" spans="1:32">
      <c r="A57" s="3" t="s">
        <v>375</v>
      </c>
      <c r="B57" s="13"/>
      <c r="C57" s="13" t="s">
        <v>199</v>
      </c>
      <c r="E57" s="3">
        <v>582670</v>
      </c>
      <c r="F57" s="3"/>
      <c r="G57" s="3">
        <v>2229495</v>
      </c>
      <c r="H57" s="3"/>
      <c r="I57" s="3">
        <v>0</v>
      </c>
      <c r="J57" s="3"/>
      <c r="K57" s="3">
        <f t="shared" si="2"/>
        <v>2812165</v>
      </c>
      <c r="L57" s="3"/>
      <c r="M57" s="3">
        <v>4999571</v>
      </c>
      <c r="N57" s="1"/>
      <c r="O57" s="3">
        <v>6443292</v>
      </c>
      <c r="P57" s="3"/>
      <c r="Q57" s="3">
        <v>92680</v>
      </c>
      <c r="R57" s="3"/>
      <c r="S57" s="3">
        <v>0</v>
      </c>
      <c r="T57" s="3"/>
      <c r="U57" s="3">
        <v>0</v>
      </c>
      <c r="V57" s="3"/>
      <c r="W57" s="3">
        <v>35078</v>
      </c>
      <c r="X57" s="27"/>
      <c r="Y57" s="3">
        <v>0</v>
      </c>
      <c r="Z57" s="3"/>
      <c r="AA57" s="3">
        <f t="shared" si="3"/>
        <v>11570621</v>
      </c>
      <c r="AB57" s="3"/>
      <c r="AC57" s="3">
        <v>0</v>
      </c>
      <c r="AD57" s="3"/>
      <c r="AE57" s="3">
        <f t="shared" si="4"/>
        <v>14382786</v>
      </c>
      <c r="AF57" s="3"/>
    </row>
    <row r="58" spans="1:32">
      <c r="A58" s="3" t="s">
        <v>208</v>
      </c>
      <c r="B58" s="13"/>
      <c r="C58" s="13" t="s">
        <v>156</v>
      </c>
      <c r="E58" s="3">
        <v>366093</v>
      </c>
      <c r="F58" s="3"/>
      <c r="G58" s="3">
        <v>1045326</v>
      </c>
      <c r="H58" s="3"/>
      <c r="I58" s="3">
        <v>0</v>
      </c>
      <c r="J58" s="3"/>
      <c r="K58" s="3">
        <f t="shared" si="2"/>
        <v>1411419</v>
      </c>
      <c r="L58" s="3"/>
      <c r="M58" s="3">
        <v>2988425</v>
      </c>
      <c r="N58" s="1"/>
      <c r="O58" s="3">
        <v>3038089</v>
      </c>
      <c r="P58" s="3"/>
      <c r="Q58" s="3">
        <v>202649</v>
      </c>
      <c r="R58" s="3"/>
      <c r="S58" s="3">
        <v>0</v>
      </c>
      <c r="T58" s="3"/>
      <c r="U58" s="3">
        <v>32000</v>
      </c>
      <c r="V58" s="3"/>
      <c r="W58" s="3">
        <v>16943</v>
      </c>
      <c r="X58" s="27"/>
      <c r="Y58" s="3">
        <v>0</v>
      </c>
      <c r="Z58" s="3"/>
      <c r="AA58" s="3">
        <f t="shared" si="3"/>
        <v>6278106</v>
      </c>
      <c r="AB58" s="3"/>
      <c r="AC58" s="3">
        <v>0</v>
      </c>
      <c r="AD58" s="3"/>
      <c r="AE58" s="3">
        <f t="shared" si="4"/>
        <v>7689525</v>
      </c>
      <c r="AF58" s="3"/>
    </row>
    <row r="59" spans="1:32">
      <c r="A59" s="3" t="s">
        <v>363</v>
      </c>
      <c r="B59" s="13"/>
      <c r="C59" s="13" t="s">
        <v>182</v>
      </c>
      <c r="E59" s="3">
        <v>1460703</v>
      </c>
      <c r="F59" s="3"/>
      <c r="G59" s="3">
        <v>4841115</v>
      </c>
      <c r="H59" s="3"/>
      <c r="I59" s="3">
        <v>0</v>
      </c>
      <c r="J59" s="3"/>
      <c r="K59" s="3">
        <f t="shared" si="2"/>
        <v>6301818</v>
      </c>
      <c r="L59" s="3"/>
      <c r="M59" s="3">
        <f>5936066+911843</f>
        <v>6847909</v>
      </c>
      <c r="N59" s="1"/>
      <c r="O59" s="3">
        <v>8294598</v>
      </c>
      <c r="P59" s="3"/>
      <c r="Q59" s="3">
        <v>36870</v>
      </c>
      <c r="R59" s="3"/>
      <c r="S59" s="3">
        <v>0</v>
      </c>
      <c r="T59" s="3"/>
      <c r="U59" s="3">
        <v>9367</v>
      </c>
      <c r="V59" s="3"/>
      <c r="W59" s="3">
        <v>221765</v>
      </c>
      <c r="X59" s="27"/>
      <c r="Y59" s="3">
        <v>0</v>
      </c>
      <c r="Z59" s="3"/>
      <c r="AA59" s="3">
        <f t="shared" si="3"/>
        <v>15410509</v>
      </c>
      <c r="AB59" s="3"/>
      <c r="AC59" s="3">
        <v>0</v>
      </c>
      <c r="AD59" s="3"/>
      <c r="AE59" s="3">
        <f t="shared" si="4"/>
        <v>21712327</v>
      </c>
      <c r="AF59" s="3"/>
    </row>
    <row r="60" spans="1:32">
      <c r="A60" s="3" t="s">
        <v>253</v>
      </c>
      <c r="B60" s="13"/>
      <c r="C60" s="13" t="s">
        <v>193</v>
      </c>
      <c r="E60" s="3">
        <v>1077335</v>
      </c>
      <c r="F60" s="3"/>
      <c r="G60" s="3">
        <v>1556096</v>
      </c>
      <c r="H60" s="3"/>
      <c r="I60" s="3">
        <v>0</v>
      </c>
      <c r="J60" s="3"/>
      <c r="K60" s="3">
        <f t="shared" si="2"/>
        <v>2633431</v>
      </c>
      <c r="L60" s="3"/>
      <c r="M60" s="3">
        <v>3064677</v>
      </c>
      <c r="N60" s="1"/>
      <c r="O60" s="3">
        <v>8498377</v>
      </c>
      <c r="P60" s="3"/>
      <c r="Q60" s="3">
        <v>196567</v>
      </c>
      <c r="R60" s="3"/>
      <c r="S60" s="3">
        <v>0</v>
      </c>
      <c r="T60" s="3"/>
      <c r="U60" s="3">
        <v>0</v>
      </c>
      <c r="V60" s="3"/>
      <c r="W60" s="3">
        <v>111385</v>
      </c>
      <c r="X60" s="27"/>
      <c r="Y60" s="3">
        <v>0</v>
      </c>
      <c r="Z60" s="3"/>
      <c r="AA60" s="3">
        <f t="shared" si="3"/>
        <v>11871006</v>
      </c>
      <c r="AB60" s="3"/>
      <c r="AC60" s="3">
        <v>0</v>
      </c>
      <c r="AD60" s="3"/>
      <c r="AE60" s="3">
        <f t="shared" si="4"/>
        <v>14504437</v>
      </c>
      <c r="AF60" s="3"/>
    </row>
    <row r="61" spans="1:32">
      <c r="A61" s="3" t="s">
        <v>254</v>
      </c>
      <c r="B61" s="13"/>
      <c r="C61" s="13" t="s">
        <v>202</v>
      </c>
      <c r="E61" s="3">
        <v>1240919</v>
      </c>
      <c r="F61" s="3"/>
      <c r="G61" s="3">
        <v>1028237</v>
      </c>
      <c r="H61" s="3"/>
      <c r="I61" s="3">
        <v>12971</v>
      </c>
      <c r="J61" s="3"/>
      <c r="K61" s="3">
        <f t="shared" si="2"/>
        <v>2282127</v>
      </c>
      <c r="L61" s="3"/>
      <c r="M61" s="3">
        <f>2583903+1013087+467799</f>
        <v>4064789</v>
      </c>
      <c r="N61" s="1"/>
      <c r="O61" s="3">
        <v>4494939</v>
      </c>
      <c r="P61" s="3"/>
      <c r="Q61" s="3">
        <v>135640</v>
      </c>
      <c r="R61" s="3"/>
      <c r="S61" s="3">
        <v>0</v>
      </c>
      <c r="T61" s="3"/>
      <c r="U61" s="3">
        <v>0</v>
      </c>
      <c r="V61" s="3"/>
      <c r="W61" s="3">
        <f>37301+40790</f>
        <v>78091</v>
      </c>
      <c r="X61" s="27"/>
      <c r="Y61" s="3">
        <v>0</v>
      </c>
      <c r="Z61" s="3"/>
      <c r="AA61" s="3">
        <f t="shared" si="3"/>
        <v>8773459</v>
      </c>
      <c r="AB61" s="3"/>
      <c r="AC61" s="3">
        <v>0</v>
      </c>
      <c r="AD61" s="3"/>
      <c r="AE61" s="3">
        <f>+AA61+K61+AC61</f>
        <v>11055586</v>
      </c>
      <c r="AF61" s="3"/>
    </row>
    <row r="62" spans="1:32">
      <c r="A62" s="3" t="s">
        <v>360</v>
      </c>
      <c r="B62" s="13"/>
      <c r="C62" s="13" t="s">
        <v>203</v>
      </c>
      <c r="E62" s="3">
        <v>3408235</v>
      </c>
      <c r="F62" s="3"/>
      <c r="G62" s="3">
        <v>987856</v>
      </c>
      <c r="H62" s="3"/>
      <c r="I62" s="3">
        <v>0</v>
      </c>
      <c r="J62" s="3"/>
      <c r="K62" s="3">
        <f t="shared" si="2"/>
        <v>4396091</v>
      </c>
      <c r="L62" s="3"/>
      <c r="M62" s="3">
        <v>7461841</v>
      </c>
      <c r="N62" s="1"/>
      <c r="O62" s="3">
        <v>6031361</v>
      </c>
      <c r="P62" s="3"/>
      <c r="Q62" s="3">
        <v>175865</v>
      </c>
      <c r="R62" s="3"/>
      <c r="S62" s="3">
        <v>184980</v>
      </c>
      <c r="T62" s="3"/>
      <c r="U62" s="3">
        <v>0</v>
      </c>
      <c r="V62" s="3"/>
      <c r="W62" s="3">
        <v>166600</v>
      </c>
      <c r="X62" s="27"/>
      <c r="Y62" s="3">
        <v>0</v>
      </c>
      <c r="Z62" s="3"/>
      <c r="AA62" s="3">
        <f t="shared" si="3"/>
        <v>14020647</v>
      </c>
      <c r="AB62" s="3"/>
      <c r="AC62" s="3">
        <v>0</v>
      </c>
      <c r="AD62" s="3"/>
      <c r="AE62" s="3">
        <f t="shared" si="4"/>
        <v>18416738</v>
      </c>
      <c r="AF62" s="3"/>
    </row>
    <row r="63" spans="1:32">
      <c r="A63" s="3" t="s">
        <v>267</v>
      </c>
      <c r="B63" s="13"/>
      <c r="C63" s="13" t="s">
        <v>204</v>
      </c>
      <c r="E63" s="3">
        <v>154112</v>
      </c>
      <c r="F63" s="3"/>
      <c r="G63" s="3">
        <v>1104789</v>
      </c>
      <c r="H63" s="3"/>
      <c r="I63" s="3">
        <v>1800</v>
      </c>
      <c r="J63" s="3"/>
      <c r="K63" s="3">
        <f t="shared" si="2"/>
        <v>1260701</v>
      </c>
      <c r="L63" s="3"/>
      <c r="M63" s="3">
        <v>1893866</v>
      </c>
      <c r="N63" s="1"/>
      <c r="O63" s="3">
        <v>3450562</v>
      </c>
      <c r="P63" s="3"/>
      <c r="Q63" s="3">
        <v>161704</v>
      </c>
      <c r="R63" s="3"/>
      <c r="S63" s="3">
        <v>50603</v>
      </c>
      <c r="T63" s="3"/>
      <c r="U63" s="3">
        <v>0</v>
      </c>
      <c r="V63" s="3"/>
      <c r="W63" s="3">
        <v>19243</v>
      </c>
      <c r="X63" s="27"/>
      <c r="Y63" s="3">
        <v>0</v>
      </c>
      <c r="Z63" s="3"/>
      <c r="AA63" s="3">
        <f t="shared" si="3"/>
        <v>5575978</v>
      </c>
      <c r="AB63" s="3"/>
      <c r="AC63" s="3">
        <v>0</v>
      </c>
      <c r="AD63" s="3"/>
      <c r="AE63" s="3">
        <f t="shared" si="4"/>
        <v>6836679</v>
      </c>
      <c r="AF63" s="3"/>
    </row>
    <row r="64" spans="1:32">
      <c r="A64" s="3" t="s">
        <v>361</v>
      </c>
      <c r="B64" s="13"/>
      <c r="C64" s="13" t="s">
        <v>205</v>
      </c>
      <c r="E64" s="3">
        <v>1403191</v>
      </c>
      <c r="F64" s="3"/>
      <c r="G64" s="3">
        <v>1927695</v>
      </c>
      <c r="H64" s="3"/>
      <c r="I64" s="3">
        <v>2361</v>
      </c>
      <c r="J64" s="3"/>
      <c r="K64" s="3">
        <f t="shared" si="2"/>
        <v>3333247</v>
      </c>
      <c r="L64" s="3"/>
      <c r="M64" s="3">
        <f>4568694+1522217</f>
        <v>6090911</v>
      </c>
      <c r="N64" s="1"/>
      <c r="O64" s="3">
        <v>7263786</v>
      </c>
      <c r="P64" s="3"/>
      <c r="Q64" s="3">
        <v>15943</v>
      </c>
      <c r="R64" s="3"/>
      <c r="S64" s="3">
        <v>0</v>
      </c>
      <c r="T64" s="3"/>
      <c r="U64" s="3">
        <v>0</v>
      </c>
      <c r="V64" s="3"/>
      <c r="W64" s="3">
        <f>22633+24105</f>
        <v>46738</v>
      </c>
      <c r="X64" s="27"/>
      <c r="Y64" s="3">
        <v>0</v>
      </c>
      <c r="Z64" s="3"/>
      <c r="AA64" s="3">
        <f t="shared" si="3"/>
        <v>13417378</v>
      </c>
      <c r="AB64" s="3"/>
      <c r="AC64" s="3">
        <v>0</v>
      </c>
      <c r="AD64" s="3"/>
      <c r="AE64" s="3">
        <f t="shared" si="4"/>
        <v>16750625</v>
      </c>
      <c r="AF64" s="3"/>
    </row>
    <row r="65" spans="1:32">
      <c r="A65" s="3"/>
      <c r="B65" s="13"/>
      <c r="C65" s="13"/>
      <c r="E65" s="3"/>
      <c r="F65" s="3"/>
      <c r="G65" s="3"/>
      <c r="H65" s="3"/>
      <c r="I65" s="3"/>
      <c r="J65" s="3"/>
      <c r="K65" s="3"/>
      <c r="L65" s="3"/>
      <c r="M65" s="3"/>
      <c r="N65" s="1"/>
      <c r="O65" s="3"/>
      <c r="P65" s="3"/>
      <c r="Q65" s="3"/>
      <c r="R65" s="3"/>
      <c r="S65" s="3"/>
      <c r="T65" s="3"/>
      <c r="U65" s="3"/>
      <c r="V65" s="3"/>
      <c r="W65" s="3"/>
      <c r="X65" s="27"/>
      <c r="Y65" s="3"/>
      <c r="Z65" s="3"/>
      <c r="AA65" s="3"/>
      <c r="AB65" s="3"/>
      <c r="AC65" s="3"/>
      <c r="AD65" s="3"/>
      <c r="AE65" s="3"/>
      <c r="AF65" s="3"/>
    </row>
    <row r="66" spans="1:32">
      <c r="A66" s="3"/>
      <c r="B66" s="13"/>
      <c r="C66" s="13"/>
      <c r="E66" s="3"/>
      <c r="F66" s="3"/>
      <c r="G66" s="3"/>
      <c r="H66" s="3"/>
      <c r="I66" s="3"/>
      <c r="J66" s="3"/>
      <c r="K66" s="3"/>
      <c r="L66" s="3"/>
      <c r="M66" s="3"/>
      <c r="N66" s="1"/>
      <c r="O66" s="3"/>
      <c r="P66" s="3"/>
      <c r="Q66" s="3"/>
      <c r="R66" s="3"/>
      <c r="S66" s="3"/>
      <c r="T66" s="3"/>
      <c r="U66" s="3"/>
      <c r="V66" s="3"/>
      <c r="W66" s="3"/>
      <c r="X66" s="27"/>
      <c r="Y66" s="3"/>
      <c r="Z66" s="3"/>
      <c r="AA66" s="3"/>
      <c r="AB66" s="3"/>
      <c r="AC66" s="3"/>
      <c r="AD66" s="3"/>
      <c r="AE66" s="14" t="s">
        <v>257</v>
      </c>
      <c r="AF66" s="3"/>
    </row>
    <row r="67" spans="1:32">
      <c r="A67" s="31" t="s">
        <v>256</v>
      </c>
      <c r="B67" s="13"/>
      <c r="C67" s="13"/>
      <c r="E67" s="3"/>
      <c r="F67" s="3"/>
      <c r="G67" s="3"/>
      <c r="H67" s="3"/>
      <c r="I67" s="3"/>
      <c r="J67" s="3"/>
      <c r="K67" s="3"/>
      <c r="L67" s="3"/>
      <c r="M67" s="3"/>
      <c r="N67" s="1"/>
      <c r="O67" s="3"/>
      <c r="P67" s="3"/>
      <c r="Q67" s="3"/>
      <c r="R67" s="3"/>
      <c r="S67" s="3"/>
      <c r="T67" s="3"/>
      <c r="U67" s="3"/>
      <c r="V67" s="3"/>
      <c r="W67" s="3"/>
      <c r="X67" s="27"/>
      <c r="Y67" s="3"/>
      <c r="Z67" s="3"/>
      <c r="AA67" s="3"/>
      <c r="AB67" s="3"/>
      <c r="AC67" s="3"/>
      <c r="AD67" s="3"/>
      <c r="AE67" s="3"/>
      <c r="AF67" s="3"/>
    </row>
    <row r="68" spans="1:32">
      <c r="A68" s="31"/>
      <c r="B68" s="13"/>
      <c r="C68" s="13"/>
      <c r="E68" s="3"/>
      <c r="F68" s="3"/>
      <c r="G68" s="3"/>
      <c r="H68" s="3"/>
      <c r="I68" s="3"/>
      <c r="J68" s="3"/>
      <c r="K68" s="3"/>
      <c r="L68" s="3"/>
      <c r="M68" s="3"/>
      <c r="N68" s="1"/>
      <c r="O68" s="3"/>
      <c r="P68" s="3"/>
      <c r="Q68" s="3"/>
      <c r="R68" s="3"/>
      <c r="S68" s="3"/>
      <c r="T68" s="3"/>
      <c r="U68" s="3"/>
      <c r="V68" s="3"/>
      <c r="W68" s="3"/>
      <c r="X68" s="27"/>
      <c r="Y68" s="3"/>
      <c r="Z68" s="3"/>
      <c r="AA68" s="3"/>
      <c r="AB68" s="3"/>
      <c r="AC68" s="3"/>
      <c r="AD68" s="3"/>
      <c r="AE68" s="3"/>
      <c r="AF68" s="3"/>
    </row>
    <row r="69" spans="1:32" hidden="1">
      <c r="A69" s="3" t="s">
        <v>333</v>
      </c>
      <c r="B69" s="3"/>
      <c r="C69" s="3" t="s">
        <v>263</v>
      </c>
      <c r="E69" s="3">
        <v>0</v>
      </c>
      <c r="F69" s="3"/>
      <c r="G69" s="3">
        <v>0</v>
      </c>
      <c r="H69" s="3"/>
      <c r="I69" s="3">
        <v>0</v>
      </c>
      <c r="J69" s="3"/>
      <c r="K69" s="3">
        <f t="shared" si="2"/>
        <v>0</v>
      </c>
      <c r="L69" s="3"/>
      <c r="M69" s="3">
        <v>0</v>
      </c>
      <c r="N69" s="1"/>
      <c r="O69" s="3">
        <v>0</v>
      </c>
      <c r="P69" s="3"/>
      <c r="Q69" s="3">
        <v>0</v>
      </c>
      <c r="R69" s="3"/>
      <c r="S69" s="3">
        <v>0</v>
      </c>
      <c r="T69" s="3"/>
      <c r="U69" s="3">
        <v>0</v>
      </c>
      <c r="V69" s="3"/>
      <c r="W69" s="3">
        <v>0</v>
      </c>
      <c r="X69" s="27"/>
      <c r="Y69" s="3">
        <v>0</v>
      </c>
      <c r="Z69" s="3"/>
      <c r="AA69" s="3">
        <f>SUM(M69:Y69)</f>
        <v>0</v>
      </c>
      <c r="AB69" s="3"/>
      <c r="AC69" s="3">
        <v>0</v>
      </c>
      <c r="AD69" s="3"/>
      <c r="AE69" s="3">
        <f t="shared" ref="AE69:AE100" si="6">+AA69+K69</f>
        <v>0</v>
      </c>
      <c r="AF69" s="17"/>
    </row>
    <row r="70" spans="1:32" hidden="1">
      <c r="A70" s="3" t="s">
        <v>334</v>
      </c>
      <c r="B70" s="3"/>
      <c r="C70" s="3" t="s">
        <v>146</v>
      </c>
      <c r="E70" s="3">
        <v>0</v>
      </c>
      <c r="F70" s="3"/>
      <c r="G70" s="3">
        <v>0</v>
      </c>
      <c r="H70" s="3"/>
      <c r="I70" s="3">
        <v>0</v>
      </c>
      <c r="J70" s="3"/>
      <c r="K70" s="3">
        <f>SUM(E70:J70)</f>
        <v>0</v>
      </c>
      <c r="L70" s="3"/>
      <c r="M70" s="3">
        <v>0</v>
      </c>
      <c r="N70" s="1"/>
      <c r="O70" s="3">
        <v>0</v>
      </c>
      <c r="P70" s="3"/>
      <c r="Q70" s="3">
        <v>0</v>
      </c>
      <c r="R70" s="3"/>
      <c r="S70" s="3">
        <v>0</v>
      </c>
      <c r="T70" s="3"/>
      <c r="U70" s="3">
        <v>0</v>
      </c>
      <c r="V70" s="3"/>
      <c r="W70" s="3">
        <v>0</v>
      </c>
      <c r="X70" s="27"/>
      <c r="Y70" s="3">
        <v>0</v>
      </c>
      <c r="Z70" s="3"/>
      <c r="AA70" s="3">
        <f>SUM(M70:Y70)</f>
        <v>0</v>
      </c>
      <c r="AB70" s="3"/>
      <c r="AC70" s="3">
        <v>0</v>
      </c>
      <c r="AD70" s="3"/>
      <c r="AE70" s="3">
        <f t="shared" si="6"/>
        <v>0</v>
      </c>
      <c r="AF70" s="17"/>
    </row>
    <row r="71" spans="1:32">
      <c r="A71" s="3" t="s">
        <v>150</v>
      </c>
      <c r="B71" s="13"/>
      <c r="C71" s="13" t="s">
        <v>147</v>
      </c>
      <c r="E71" s="17">
        <v>4372548</v>
      </c>
      <c r="F71" s="17"/>
      <c r="G71" s="17">
        <v>4768031</v>
      </c>
      <c r="H71" s="17"/>
      <c r="I71" s="17">
        <v>0</v>
      </c>
      <c r="J71" s="17"/>
      <c r="K71" s="17">
        <f t="shared" si="2"/>
        <v>9140579</v>
      </c>
      <c r="L71" s="17"/>
      <c r="M71" s="17">
        <v>0</v>
      </c>
      <c r="N71" s="66"/>
      <c r="O71" s="17">
        <v>328534</v>
      </c>
      <c r="P71" s="17"/>
      <c r="Q71" s="17">
        <v>7103</v>
      </c>
      <c r="R71" s="17"/>
      <c r="S71" s="17">
        <v>0</v>
      </c>
      <c r="T71" s="17"/>
      <c r="U71" s="17">
        <v>5507</v>
      </c>
      <c r="V71" s="17"/>
      <c r="W71" s="17">
        <v>130876</v>
      </c>
      <c r="X71" s="62"/>
      <c r="Y71" s="17">
        <v>0</v>
      </c>
      <c r="Z71" s="17"/>
      <c r="AA71" s="17">
        <f>SUM(M71:Y71)</f>
        <v>472020</v>
      </c>
      <c r="AB71" s="17"/>
      <c r="AC71" s="17">
        <v>0</v>
      </c>
      <c r="AD71" s="17"/>
      <c r="AE71" s="17">
        <f t="shared" si="6"/>
        <v>9612599</v>
      </c>
      <c r="AF71" s="17"/>
    </row>
    <row r="72" spans="1:32" hidden="1">
      <c r="A72" s="3" t="s">
        <v>335</v>
      </c>
      <c r="B72" s="3"/>
      <c r="C72" s="3" t="s">
        <v>264</v>
      </c>
      <c r="E72" s="3">
        <v>0</v>
      </c>
      <c r="F72" s="3"/>
      <c r="G72" s="3">
        <v>0</v>
      </c>
      <c r="H72" s="3"/>
      <c r="I72" s="3">
        <v>0</v>
      </c>
      <c r="J72" s="3"/>
      <c r="K72" s="3">
        <f>SUM(E72:J72)</f>
        <v>0</v>
      </c>
      <c r="L72" s="3"/>
      <c r="M72" s="3">
        <v>0</v>
      </c>
      <c r="N72" s="1"/>
      <c r="O72" s="3">
        <v>0</v>
      </c>
      <c r="P72" s="3"/>
      <c r="Q72" s="3">
        <v>0</v>
      </c>
      <c r="R72" s="3"/>
      <c r="S72" s="3">
        <v>0</v>
      </c>
      <c r="T72" s="3"/>
      <c r="U72" s="3">
        <v>0</v>
      </c>
      <c r="V72" s="3"/>
      <c r="W72" s="3">
        <v>0</v>
      </c>
      <c r="X72" s="27"/>
      <c r="Y72" s="3">
        <v>0</v>
      </c>
      <c r="Z72" s="3"/>
      <c r="AA72" s="3">
        <f t="shared" ref="AA72:AA130" si="7">SUM(M72:Y72)</f>
        <v>0</v>
      </c>
      <c r="AB72" s="3"/>
      <c r="AC72" s="3">
        <v>0</v>
      </c>
      <c r="AD72" s="3"/>
      <c r="AE72" s="3">
        <f t="shared" si="6"/>
        <v>0</v>
      </c>
      <c r="AF72" s="3"/>
    </row>
    <row r="73" spans="1:32">
      <c r="A73" s="13" t="s">
        <v>291</v>
      </c>
      <c r="B73" s="13"/>
      <c r="C73" s="13" t="s">
        <v>152</v>
      </c>
      <c r="E73" s="3">
        <v>3691723</v>
      </c>
      <c r="F73" s="3"/>
      <c r="G73" s="3">
        <v>898958</v>
      </c>
      <c r="H73" s="3"/>
      <c r="I73" s="3">
        <v>0</v>
      </c>
      <c r="J73" s="3"/>
      <c r="K73" s="3">
        <f t="shared" si="2"/>
        <v>4590681</v>
      </c>
      <c r="L73" s="3"/>
      <c r="M73" s="3">
        <v>0</v>
      </c>
      <c r="N73" s="1"/>
      <c r="O73" s="3">
        <v>199296</v>
      </c>
      <c r="P73" s="3"/>
      <c r="Q73" s="3">
        <v>12007</v>
      </c>
      <c r="R73" s="3"/>
      <c r="S73" s="3">
        <v>0</v>
      </c>
      <c r="T73" s="3"/>
      <c r="U73" s="3">
        <v>0</v>
      </c>
      <c r="V73" s="3"/>
      <c r="W73" s="3">
        <v>0</v>
      </c>
      <c r="X73" s="27"/>
      <c r="Y73" s="3">
        <v>0</v>
      </c>
      <c r="Z73" s="3"/>
      <c r="AA73" s="3">
        <f t="shared" si="7"/>
        <v>211303</v>
      </c>
      <c r="AB73" s="3"/>
      <c r="AC73" s="3">
        <v>0</v>
      </c>
      <c r="AD73" s="3"/>
      <c r="AE73" s="3">
        <f t="shared" si="6"/>
        <v>4801984</v>
      </c>
      <c r="AF73" s="3"/>
    </row>
    <row r="74" spans="1:32">
      <c r="A74" s="13" t="s">
        <v>292</v>
      </c>
      <c r="B74" s="13"/>
      <c r="C74" s="13" t="s">
        <v>149</v>
      </c>
      <c r="E74" s="3">
        <v>7245334</v>
      </c>
      <c r="F74" s="3"/>
      <c r="G74" s="3">
        <v>6864150</v>
      </c>
      <c r="H74" s="3"/>
      <c r="I74" s="3">
        <v>0</v>
      </c>
      <c r="J74" s="3"/>
      <c r="K74" s="3">
        <f t="shared" si="2"/>
        <v>14109484</v>
      </c>
      <c r="L74" s="3"/>
      <c r="M74" s="3">
        <v>0</v>
      </c>
      <c r="N74" s="1"/>
      <c r="O74" s="3">
        <v>1835404</v>
      </c>
      <c r="P74" s="3"/>
      <c r="Q74" s="3">
        <v>511</v>
      </c>
      <c r="R74" s="3"/>
      <c r="S74" s="3">
        <v>0</v>
      </c>
      <c r="T74" s="3"/>
      <c r="U74" s="3">
        <v>0</v>
      </c>
      <c r="V74" s="3"/>
      <c r="W74" s="3">
        <v>654707</v>
      </c>
      <c r="X74" s="27"/>
      <c r="Y74" s="3">
        <v>0</v>
      </c>
      <c r="Z74" s="3"/>
      <c r="AA74" s="3">
        <f t="shared" si="7"/>
        <v>2490622</v>
      </c>
      <c r="AB74" s="3"/>
      <c r="AC74" s="3">
        <v>0</v>
      </c>
      <c r="AD74" s="3"/>
      <c r="AE74" s="3">
        <f t="shared" si="6"/>
        <v>16600106</v>
      </c>
      <c r="AF74" s="3"/>
    </row>
    <row r="75" spans="1:32">
      <c r="A75" s="13" t="s">
        <v>293</v>
      </c>
      <c r="B75" s="13"/>
      <c r="C75" s="13" t="s">
        <v>154</v>
      </c>
      <c r="E75" s="3">
        <v>5047836</v>
      </c>
      <c r="F75" s="3"/>
      <c r="G75" s="3">
        <v>579334</v>
      </c>
      <c r="H75" s="3"/>
      <c r="I75" s="3">
        <v>0</v>
      </c>
      <c r="J75" s="3"/>
      <c r="K75" s="3">
        <f t="shared" si="2"/>
        <v>5627170</v>
      </c>
      <c r="L75" s="3"/>
      <c r="M75" s="3">
        <v>0</v>
      </c>
      <c r="N75" s="1"/>
      <c r="O75" s="3">
        <v>1102970</v>
      </c>
      <c r="P75" s="3"/>
      <c r="Q75" s="3">
        <v>1415</v>
      </c>
      <c r="R75" s="3"/>
      <c r="S75" s="3">
        <v>0</v>
      </c>
      <c r="T75" s="3"/>
      <c r="U75" s="3">
        <v>0</v>
      </c>
      <c r="V75" s="3"/>
      <c r="W75" s="3">
        <v>32669</v>
      </c>
      <c r="X75" s="27"/>
      <c r="Y75" s="3">
        <v>0</v>
      </c>
      <c r="Z75" s="3"/>
      <c r="AA75" s="3">
        <f t="shared" si="7"/>
        <v>1137054</v>
      </c>
      <c r="AB75" s="3"/>
      <c r="AC75" s="3">
        <v>0</v>
      </c>
      <c r="AD75" s="3"/>
      <c r="AE75" s="3">
        <f t="shared" si="6"/>
        <v>6764224</v>
      </c>
      <c r="AF75" s="3"/>
    </row>
    <row r="76" spans="1:32">
      <c r="A76" s="3" t="s">
        <v>155</v>
      </c>
      <c r="B76" s="13"/>
      <c r="C76" s="13" t="s">
        <v>156</v>
      </c>
      <c r="E76" s="3">
        <v>14827424</v>
      </c>
      <c r="F76" s="3"/>
      <c r="G76" s="3">
        <v>1229173</v>
      </c>
      <c r="H76" s="3"/>
      <c r="I76" s="3">
        <v>0</v>
      </c>
      <c r="J76" s="3"/>
      <c r="K76" s="3">
        <f t="shared" si="2"/>
        <v>16056597</v>
      </c>
      <c r="L76" s="3"/>
      <c r="M76" s="3">
        <v>0</v>
      </c>
      <c r="N76" s="1"/>
      <c r="O76" s="3">
        <v>846828</v>
      </c>
      <c r="P76" s="3"/>
      <c r="Q76" s="3">
        <v>7383</v>
      </c>
      <c r="R76" s="3"/>
      <c r="S76" s="3">
        <v>0</v>
      </c>
      <c r="T76" s="3"/>
      <c r="U76" s="3">
        <v>17700</v>
      </c>
      <c r="V76" s="3"/>
      <c r="W76" s="3">
        <v>50390</v>
      </c>
      <c r="X76" s="27"/>
      <c r="Y76" s="3">
        <v>0</v>
      </c>
      <c r="Z76" s="3"/>
      <c r="AA76" s="3">
        <f t="shared" si="7"/>
        <v>922301</v>
      </c>
      <c r="AB76" s="3"/>
      <c r="AC76" s="3">
        <v>0</v>
      </c>
      <c r="AD76" s="3"/>
      <c r="AE76" s="3">
        <f t="shared" si="6"/>
        <v>16978898</v>
      </c>
      <c r="AF76" s="3"/>
    </row>
    <row r="77" spans="1:32" hidden="1">
      <c r="A77" s="13" t="s">
        <v>281</v>
      </c>
      <c r="B77" s="13"/>
      <c r="C77" s="13" t="s">
        <v>157</v>
      </c>
      <c r="E77" s="3">
        <v>0</v>
      </c>
      <c r="F77" s="3"/>
      <c r="G77" s="3">
        <v>0</v>
      </c>
      <c r="H77" s="3"/>
      <c r="I77" s="3">
        <v>0</v>
      </c>
      <c r="J77" s="3"/>
      <c r="K77" s="3">
        <f t="shared" si="2"/>
        <v>0</v>
      </c>
      <c r="L77" s="3"/>
      <c r="M77" s="3">
        <v>0</v>
      </c>
      <c r="N77" s="1"/>
      <c r="O77" s="3">
        <v>0</v>
      </c>
      <c r="P77" s="3"/>
      <c r="Q77" s="3">
        <v>0</v>
      </c>
      <c r="R77" s="3"/>
      <c r="S77" s="3">
        <v>0</v>
      </c>
      <c r="T77" s="3"/>
      <c r="U77" s="3">
        <v>0</v>
      </c>
      <c r="V77" s="3"/>
      <c r="W77" s="3">
        <v>0</v>
      </c>
      <c r="X77" s="27"/>
      <c r="Y77" s="3">
        <v>0</v>
      </c>
      <c r="Z77" s="3"/>
      <c r="AA77" s="3">
        <f t="shared" si="7"/>
        <v>0</v>
      </c>
      <c r="AB77" s="3"/>
      <c r="AC77" s="3">
        <v>0</v>
      </c>
      <c r="AD77" s="3"/>
      <c r="AE77" s="3">
        <f t="shared" si="6"/>
        <v>0</v>
      </c>
      <c r="AF77" s="3"/>
    </row>
    <row r="78" spans="1:32">
      <c r="A78" s="13" t="s">
        <v>310</v>
      </c>
      <c r="B78" s="13"/>
      <c r="C78" s="13" t="s">
        <v>158</v>
      </c>
      <c r="E78" s="3">
        <v>8469479</v>
      </c>
      <c r="F78" s="3"/>
      <c r="G78" s="3">
        <v>1705650</v>
      </c>
      <c r="H78" s="3"/>
      <c r="I78" s="3">
        <v>0</v>
      </c>
      <c r="J78" s="3"/>
      <c r="K78" s="3">
        <f t="shared" si="2"/>
        <v>10175129</v>
      </c>
      <c r="L78" s="3"/>
      <c r="M78" s="3">
        <v>0</v>
      </c>
      <c r="N78" s="1"/>
      <c r="O78" s="3">
        <v>406778</v>
      </c>
      <c r="P78" s="3"/>
      <c r="Q78" s="3">
        <v>501</v>
      </c>
      <c r="R78" s="3"/>
      <c r="S78" s="3">
        <v>0</v>
      </c>
      <c r="T78" s="3"/>
      <c r="U78" s="3">
        <v>0</v>
      </c>
      <c r="V78" s="3"/>
      <c r="W78" s="3">
        <v>1863</v>
      </c>
      <c r="X78" s="27"/>
      <c r="Y78" s="3">
        <v>0</v>
      </c>
      <c r="Z78" s="3"/>
      <c r="AA78" s="3">
        <f t="shared" si="7"/>
        <v>409142</v>
      </c>
      <c r="AB78" s="3"/>
      <c r="AC78" s="3">
        <v>0</v>
      </c>
      <c r="AD78" s="3"/>
      <c r="AE78" s="3">
        <f t="shared" si="6"/>
        <v>10584271</v>
      </c>
      <c r="AF78" s="3"/>
    </row>
    <row r="79" spans="1:32">
      <c r="A79" s="3" t="s">
        <v>312</v>
      </c>
      <c r="B79" s="13"/>
      <c r="C79" s="13" t="s">
        <v>159</v>
      </c>
      <c r="E79" s="3">
        <v>48659422</v>
      </c>
      <c r="F79" s="3"/>
      <c r="G79" s="3">
        <v>13367161</v>
      </c>
      <c r="H79" s="3"/>
      <c r="I79" s="3">
        <v>0</v>
      </c>
      <c r="J79" s="3"/>
      <c r="K79" s="3">
        <f t="shared" si="2"/>
        <v>62026583</v>
      </c>
      <c r="L79" s="3"/>
      <c r="M79" s="3">
        <v>0</v>
      </c>
      <c r="N79" s="1"/>
      <c r="O79" s="3">
        <v>5554650</v>
      </c>
      <c r="P79" s="3"/>
      <c r="Q79" s="3">
        <v>58123</v>
      </c>
      <c r="R79" s="3"/>
      <c r="S79" s="3">
        <v>0</v>
      </c>
      <c r="T79" s="3"/>
      <c r="U79" s="3">
        <v>77781</v>
      </c>
      <c r="V79" s="3"/>
      <c r="W79" s="3">
        <v>693074</v>
      </c>
      <c r="X79" s="27"/>
      <c r="Y79" s="3">
        <v>0</v>
      </c>
      <c r="Z79" s="3"/>
      <c r="AA79" s="3">
        <f t="shared" si="7"/>
        <v>6383628</v>
      </c>
      <c r="AB79" s="3"/>
      <c r="AC79" s="3">
        <v>0</v>
      </c>
      <c r="AD79" s="3"/>
      <c r="AE79" s="3">
        <f t="shared" si="6"/>
        <v>68410211</v>
      </c>
      <c r="AF79" s="3"/>
    </row>
    <row r="80" spans="1:32" hidden="1">
      <c r="A80" s="3" t="s">
        <v>315</v>
      </c>
      <c r="B80" s="13"/>
      <c r="C80" s="13" t="s">
        <v>160</v>
      </c>
      <c r="E80" s="3">
        <v>0</v>
      </c>
      <c r="F80" s="3"/>
      <c r="G80" s="3">
        <v>0</v>
      </c>
      <c r="H80" s="3"/>
      <c r="I80" s="3">
        <v>0</v>
      </c>
      <c r="J80" s="3"/>
      <c r="K80" s="3">
        <f t="shared" si="2"/>
        <v>0</v>
      </c>
      <c r="L80" s="3"/>
      <c r="M80" s="3">
        <v>0</v>
      </c>
      <c r="N80" s="1"/>
      <c r="O80" s="3">
        <v>0</v>
      </c>
      <c r="P80" s="3"/>
      <c r="Q80" s="3">
        <v>0</v>
      </c>
      <c r="R80" s="3"/>
      <c r="S80" s="3">
        <v>0</v>
      </c>
      <c r="T80" s="3"/>
      <c r="U80" s="3">
        <v>0</v>
      </c>
      <c r="V80" s="3"/>
      <c r="W80" s="3">
        <v>0</v>
      </c>
      <c r="X80" s="27"/>
      <c r="Y80" s="3">
        <v>0</v>
      </c>
      <c r="Z80" s="3"/>
      <c r="AA80" s="3">
        <f t="shared" si="7"/>
        <v>0</v>
      </c>
      <c r="AB80" s="3"/>
      <c r="AC80" s="3">
        <v>0</v>
      </c>
      <c r="AD80" s="3"/>
      <c r="AE80" s="3">
        <f t="shared" si="6"/>
        <v>0</v>
      </c>
      <c r="AF80" s="3"/>
    </row>
    <row r="81" spans="1:32" hidden="1">
      <c r="A81" s="3" t="s">
        <v>311</v>
      </c>
      <c r="B81" s="13"/>
      <c r="C81" s="13" t="s">
        <v>161</v>
      </c>
      <c r="E81" s="3">
        <v>0</v>
      </c>
      <c r="F81" s="3"/>
      <c r="G81" s="3">
        <v>0</v>
      </c>
      <c r="H81" s="3"/>
      <c r="I81" s="3">
        <v>0</v>
      </c>
      <c r="J81" s="3"/>
      <c r="K81" s="3">
        <f t="shared" si="2"/>
        <v>0</v>
      </c>
      <c r="L81" s="3"/>
      <c r="M81" s="3">
        <v>0</v>
      </c>
      <c r="N81" s="1"/>
      <c r="O81" s="3">
        <v>0</v>
      </c>
      <c r="P81" s="3"/>
      <c r="Q81" s="3">
        <v>0</v>
      </c>
      <c r="R81" s="3"/>
      <c r="S81" s="3">
        <v>0</v>
      </c>
      <c r="T81" s="3"/>
      <c r="U81" s="3">
        <v>0</v>
      </c>
      <c r="V81" s="3"/>
      <c r="W81" s="3">
        <v>0</v>
      </c>
      <c r="X81" s="27"/>
      <c r="Y81" s="3">
        <v>0</v>
      </c>
      <c r="Z81" s="3"/>
      <c r="AA81" s="3">
        <f t="shared" si="7"/>
        <v>0</v>
      </c>
      <c r="AB81" s="3"/>
      <c r="AC81" s="3">
        <v>0</v>
      </c>
      <c r="AD81" s="3"/>
      <c r="AE81" s="3">
        <f t="shared" si="6"/>
        <v>0</v>
      </c>
      <c r="AF81" s="3"/>
    </row>
    <row r="82" spans="1:32">
      <c r="A82" s="3" t="s">
        <v>309</v>
      </c>
      <c r="B82" s="13"/>
      <c r="C82" s="3" t="s">
        <v>200</v>
      </c>
      <c r="E82" s="3">
        <v>7307328</v>
      </c>
      <c r="F82" s="3"/>
      <c r="G82" s="3">
        <v>911730</v>
      </c>
      <c r="H82" s="3"/>
      <c r="I82" s="3">
        <v>0</v>
      </c>
      <c r="J82" s="3"/>
      <c r="K82" s="3">
        <f t="shared" si="2"/>
        <v>8219058</v>
      </c>
      <c r="L82" s="3"/>
      <c r="M82" s="3">
        <v>0</v>
      </c>
      <c r="N82" s="1"/>
      <c r="O82" s="3">
        <v>1596515</v>
      </c>
      <c r="P82" s="3"/>
      <c r="Q82" s="3">
        <v>2635</v>
      </c>
      <c r="R82" s="3"/>
      <c r="S82" s="3">
        <v>0</v>
      </c>
      <c r="T82" s="3"/>
      <c r="U82" s="3">
        <v>0</v>
      </c>
      <c r="V82" s="3"/>
      <c r="W82" s="3">
        <v>0</v>
      </c>
      <c r="X82" s="27"/>
      <c r="Y82" s="3">
        <v>0</v>
      </c>
      <c r="Z82" s="3"/>
      <c r="AA82" s="3">
        <f t="shared" si="7"/>
        <v>1599150</v>
      </c>
      <c r="AB82" s="3"/>
      <c r="AC82" s="3">
        <v>0</v>
      </c>
      <c r="AD82" s="3"/>
      <c r="AE82" s="3">
        <f t="shared" si="6"/>
        <v>9818208</v>
      </c>
      <c r="AF82" s="3"/>
    </row>
    <row r="83" spans="1:32">
      <c r="A83" s="3" t="s">
        <v>318</v>
      </c>
      <c r="B83" s="13"/>
      <c r="C83" s="13" t="s">
        <v>164</v>
      </c>
      <c r="E83" s="3">
        <v>49697566</v>
      </c>
      <c r="F83" s="3"/>
      <c r="G83" s="3">
        <v>10274969</v>
      </c>
      <c r="H83" s="3"/>
      <c r="I83" s="3">
        <v>0</v>
      </c>
      <c r="J83" s="3"/>
      <c r="K83" s="3">
        <f>SUM(E83:J83)</f>
        <v>59972535</v>
      </c>
      <c r="L83" s="3"/>
      <c r="M83" s="3">
        <v>0</v>
      </c>
      <c r="N83" s="1"/>
      <c r="O83" s="3">
        <v>5334729</v>
      </c>
      <c r="P83" s="3"/>
      <c r="Q83" s="3">
        <v>19610</v>
      </c>
      <c r="R83" s="3"/>
      <c r="S83" s="3">
        <v>0</v>
      </c>
      <c r="T83" s="3"/>
      <c r="U83" s="3">
        <v>0</v>
      </c>
      <c r="V83" s="3"/>
      <c r="W83" s="3">
        <v>167303</v>
      </c>
      <c r="X83" s="27"/>
      <c r="Y83" s="3">
        <v>0</v>
      </c>
      <c r="Z83" s="3"/>
      <c r="AA83" s="3">
        <f>SUM(N83:Y83)</f>
        <v>5521642</v>
      </c>
      <c r="AB83" s="3"/>
      <c r="AC83" s="3">
        <v>0</v>
      </c>
      <c r="AD83" s="3"/>
      <c r="AE83" s="3">
        <f>+AA83+K83+AC83</f>
        <v>65494177</v>
      </c>
      <c r="AF83" s="3"/>
    </row>
    <row r="84" spans="1:32" hidden="1">
      <c r="A84" s="13" t="s">
        <v>279</v>
      </c>
      <c r="B84" s="13"/>
      <c r="C84" s="13" t="s">
        <v>162</v>
      </c>
      <c r="E84" s="3">
        <v>0</v>
      </c>
      <c r="F84" s="3"/>
      <c r="G84" s="3">
        <v>0</v>
      </c>
      <c r="H84" s="3"/>
      <c r="I84" s="3">
        <v>0</v>
      </c>
      <c r="J84" s="3"/>
      <c r="K84" s="3">
        <f t="shared" si="2"/>
        <v>0</v>
      </c>
      <c r="L84" s="3"/>
      <c r="M84" s="3">
        <v>0</v>
      </c>
      <c r="N84" s="1"/>
      <c r="O84" s="3">
        <v>0</v>
      </c>
      <c r="P84" s="3"/>
      <c r="Q84" s="3">
        <v>0</v>
      </c>
      <c r="R84" s="3"/>
      <c r="S84" s="3">
        <v>0</v>
      </c>
      <c r="T84" s="3"/>
      <c r="U84" s="3">
        <v>0</v>
      </c>
      <c r="V84" s="3"/>
      <c r="W84" s="3">
        <v>0</v>
      </c>
      <c r="X84" s="27"/>
      <c r="Y84" s="3">
        <v>0</v>
      </c>
      <c r="Z84" s="3"/>
      <c r="AA84" s="3">
        <f t="shared" si="7"/>
        <v>0</v>
      </c>
      <c r="AB84" s="3"/>
      <c r="AC84" s="3">
        <v>0</v>
      </c>
      <c r="AD84" s="3"/>
      <c r="AE84" s="3">
        <f t="shared" si="6"/>
        <v>0</v>
      </c>
      <c r="AF84" s="3"/>
    </row>
    <row r="85" spans="1:32">
      <c r="A85" s="3" t="s">
        <v>320</v>
      </c>
      <c r="B85" s="13"/>
      <c r="C85" s="13" t="s">
        <v>163</v>
      </c>
      <c r="E85" s="3">
        <v>5607612</v>
      </c>
      <c r="F85" s="3"/>
      <c r="G85" s="3">
        <v>640600</v>
      </c>
      <c r="H85" s="3"/>
      <c r="I85" s="3">
        <v>0</v>
      </c>
      <c r="J85" s="3"/>
      <c r="K85" s="3">
        <f t="shared" si="2"/>
        <v>6248212</v>
      </c>
      <c r="L85" s="3"/>
      <c r="M85" s="3">
        <v>0</v>
      </c>
      <c r="N85" s="1"/>
      <c r="O85" s="3">
        <v>1809343</v>
      </c>
      <c r="P85" s="3"/>
      <c r="Q85" s="3">
        <v>2156</v>
      </c>
      <c r="R85" s="3"/>
      <c r="S85" s="3">
        <v>0</v>
      </c>
      <c r="T85" s="3"/>
      <c r="U85" s="3">
        <v>604754</v>
      </c>
      <c r="V85" s="3"/>
      <c r="W85" s="3">
        <v>14147</v>
      </c>
      <c r="X85" s="27"/>
      <c r="Y85" s="3">
        <v>0</v>
      </c>
      <c r="Z85" s="3"/>
      <c r="AA85" s="3">
        <f t="shared" si="7"/>
        <v>2430400</v>
      </c>
      <c r="AB85" s="3"/>
      <c r="AC85" s="3">
        <v>0</v>
      </c>
      <c r="AD85" s="3"/>
      <c r="AE85" s="3">
        <f t="shared" si="6"/>
        <v>8678612</v>
      </c>
      <c r="AF85" s="3"/>
    </row>
    <row r="86" spans="1:32">
      <c r="A86" s="3" t="s">
        <v>166</v>
      </c>
      <c r="B86" s="13"/>
      <c r="C86" s="13" t="s">
        <v>167</v>
      </c>
      <c r="E86" s="3">
        <v>1375161</v>
      </c>
      <c r="F86" s="3"/>
      <c r="G86" s="3">
        <v>2576358</v>
      </c>
      <c r="H86" s="3"/>
      <c r="I86" s="3">
        <v>0</v>
      </c>
      <c r="J86" s="3"/>
      <c r="K86" s="3">
        <f t="shared" si="2"/>
        <v>3951519</v>
      </c>
      <c r="L86" s="3"/>
      <c r="M86" s="3">
        <v>0</v>
      </c>
      <c r="N86" s="1"/>
      <c r="O86" s="3">
        <v>210713</v>
      </c>
      <c r="P86" s="3"/>
      <c r="Q86" s="3">
        <v>24662</v>
      </c>
      <c r="R86" s="3"/>
      <c r="S86" s="3">
        <v>0</v>
      </c>
      <c r="T86" s="3"/>
      <c r="U86" s="3">
        <v>0</v>
      </c>
      <c r="V86" s="3"/>
      <c r="W86" s="3">
        <v>7279</v>
      </c>
      <c r="X86" s="27"/>
      <c r="Y86" s="3">
        <v>0</v>
      </c>
      <c r="Z86" s="3"/>
      <c r="AA86" s="3">
        <f t="shared" si="7"/>
        <v>242654</v>
      </c>
      <c r="AB86" s="3"/>
      <c r="AC86" s="3">
        <v>0</v>
      </c>
      <c r="AD86" s="3"/>
      <c r="AE86" s="3">
        <f t="shared" si="6"/>
        <v>4194173</v>
      </c>
      <c r="AF86" s="3"/>
    </row>
    <row r="87" spans="1:32">
      <c r="A87" s="61" t="s">
        <v>319</v>
      </c>
      <c r="B87" s="13"/>
      <c r="C87" s="13" t="s">
        <v>168</v>
      </c>
      <c r="E87" s="3">
        <v>10256119</v>
      </c>
      <c r="F87" s="3"/>
      <c r="G87" s="3">
        <v>457096</v>
      </c>
      <c r="H87" s="3"/>
      <c r="I87" s="3">
        <v>0</v>
      </c>
      <c r="J87" s="3"/>
      <c r="K87" s="3">
        <f t="shared" si="2"/>
        <v>10713215</v>
      </c>
      <c r="L87" s="3"/>
      <c r="M87" s="3">
        <v>0</v>
      </c>
      <c r="N87" s="1"/>
      <c r="O87" s="3">
        <v>970134</v>
      </c>
      <c r="P87" s="3"/>
      <c r="Q87" s="3">
        <v>6447</v>
      </c>
      <c r="R87" s="3"/>
      <c r="S87" s="3">
        <v>0</v>
      </c>
      <c r="T87" s="3"/>
      <c r="U87" s="3">
        <v>0</v>
      </c>
      <c r="V87" s="3"/>
      <c r="W87" s="3">
        <v>44177</v>
      </c>
      <c r="X87" s="27"/>
      <c r="Y87" s="3">
        <v>0</v>
      </c>
      <c r="Z87" s="3"/>
      <c r="AA87" s="3">
        <f t="shared" si="7"/>
        <v>1020758</v>
      </c>
      <c r="AB87" s="3"/>
      <c r="AC87" s="3">
        <v>0</v>
      </c>
      <c r="AD87" s="3"/>
      <c r="AE87" s="3">
        <f t="shared" si="6"/>
        <v>11733973</v>
      </c>
      <c r="AF87" s="3"/>
    </row>
    <row r="88" spans="1:32">
      <c r="A88" s="13" t="s">
        <v>296</v>
      </c>
      <c r="B88" s="13"/>
      <c r="C88" s="13" t="s">
        <v>169</v>
      </c>
      <c r="E88" s="3">
        <v>9294548</v>
      </c>
      <c r="F88" s="3"/>
      <c r="G88" s="3">
        <v>916944</v>
      </c>
      <c r="H88" s="3"/>
      <c r="I88" s="3">
        <v>0</v>
      </c>
      <c r="J88" s="3"/>
      <c r="K88" s="3">
        <f t="shared" ref="K88:K130" si="8">SUM(E88:J88)</f>
        <v>10211492</v>
      </c>
      <c r="L88" s="3"/>
      <c r="M88" s="3">
        <v>0</v>
      </c>
      <c r="N88" s="1"/>
      <c r="O88" s="3">
        <v>1188888</v>
      </c>
      <c r="P88" s="3"/>
      <c r="Q88" s="3">
        <v>0</v>
      </c>
      <c r="R88" s="3"/>
      <c r="S88" s="3">
        <v>0</v>
      </c>
      <c r="T88" s="3"/>
      <c r="U88" s="3">
        <v>0</v>
      </c>
      <c r="V88" s="3"/>
      <c r="W88" s="3">
        <v>177486</v>
      </c>
      <c r="X88" s="27"/>
      <c r="Y88" s="3">
        <v>0</v>
      </c>
      <c r="Z88" s="3"/>
      <c r="AA88" s="3">
        <f t="shared" si="7"/>
        <v>1366374</v>
      </c>
      <c r="AB88" s="3"/>
      <c r="AC88" s="3">
        <v>0</v>
      </c>
      <c r="AD88" s="3"/>
      <c r="AE88" s="3">
        <f t="shared" si="6"/>
        <v>11577866</v>
      </c>
      <c r="AF88" s="3"/>
    </row>
    <row r="89" spans="1:32">
      <c r="A89" s="13" t="s">
        <v>297</v>
      </c>
      <c r="B89" s="13"/>
      <c r="C89" s="13" t="s">
        <v>170</v>
      </c>
      <c r="E89" s="3">
        <v>28741809</v>
      </c>
      <c r="F89" s="3"/>
      <c r="G89" s="3">
        <v>8483609</v>
      </c>
      <c r="H89" s="3"/>
      <c r="I89" s="3">
        <v>0</v>
      </c>
      <c r="J89" s="3"/>
      <c r="K89" s="3">
        <f t="shared" si="8"/>
        <v>37225418</v>
      </c>
      <c r="L89" s="3"/>
      <c r="M89" s="3">
        <v>0</v>
      </c>
      <c r="N89" s="1"/>
      <c r="O89" s="3">
        <v>3526054</v>
      </c>
      <c r="P89" s="3"/>
      <c r="Q89" s="3">
        <v>41769</v>
      </c>
      <c r="R89" s="3"/>
      <c r="S89" s="3">
        <v>0</v>
      </c>
      <c r="T89" s="3"/>
      <c r="U89" s="3">
        <v>0</v>
      </c>
      <c r="V89" s="3"/>
      <c r="W89" s="3">
        <v>176292</v>
      </c>
      <c r="X89" s="27"/>
      <c r="Y89" s="3">
        <v>0</v>
      </c>
      <c r="Z89" s="3"/>
      <c r="AA89" s="3">
        <f t="shared" si="7"/>
        <v>3744115</v>
      </c>
      <c r="AB89" s="3"/>
      <c r="AC89" s="3">
        <v>0</v>
      </c>
      <c r="AD89" s="3"/>
      <c r="AE89" s="3">
        <f t="shared" si="6"/>
        <v>40969533</v>
      </c>
      <c r="AF89" s="3"/>
    </row>
    <row r="90" spans="1:32">
      <c r="A90" s="13" t="s">
        <v>298</v>
      </c>
      <c r="B90" s="13"/>
      <c r="C90" s="13" t="s">
        <v>171</v>
      </c>
      <c r="E90" s="3">
        <v>4759235</v>
      </c>
      <c r="F90" s="3"/>
      <c r="G90" s="3">
        <v>553072</v>
      </c>
      <c r="H90" s="3"/>
      <c r="I90" s="3">
        <v>0</v>
      </c>
      <c r="J90" s="3"/>
      <c r="K90" s="3">
        <f t="shared" si="8"/>
        <v>5312307</v>
      </c>
      <c r="L90" s="3"/>
      <c r="M90" s="3">
        <v>0</v>
      </c>
      <c r="N90" s="1"/>
      <c r="O90" s="3">
        <v>322661</v>
      </c>
      <c r="P90" s="3"/>
      <c r="Q90" s="3">
        <v>4159</v>
      </c>
      <c r="R90" s="3"/>
      <c r="S90" s="3">
        <v>0</v>
      </c>
      <c r="T90" s="3"/>
      <c r="U90" s="3">
        <v>0</v>
      </c>
      <c r="V90" s="3"/>
      <c r="W90" s="3">
        <v>60111</v>
      </c>
      <c r="X90" s="27"/>
      <c r="Y90" s="3">
        <v>0</v>
      </c>
      <c r="Z90" s="3"/>
      <c r="AA90" s="3">
        <f t="shared" si="7"/>
        <v>386931</v>
      </c>
      <c r="AB90" s="3"/>
      <c r="AC90" s="3">
        <v>0</v>
      </c>
      <c r="AD90" s="3"/>
      <c r="AE90" s="3">
        <f t="shared" si="6"/>
        <v>5699238</v>
      </c>
      <c r="AF90" s="3"/>
    </row>
    <row r="91" spans="1:32" hidden="1">
      <c r="A91" s="13" t="s">
        <v>357</v>
      </c>
      <c r="B91" s="13"/>
      <c r="C91" s="13" t="s">
        <v>21</v>
      </c>
      <c r="E91" s="3">
        <v>0</v>
      </c>
      <c r="F91" s="3"/>
      <c r="G91" s="3">
        <v>0</v>
      </c>
      <c r="H91" s="3"/>
      <c r="I91" s="3">
        <v>0</v>
      </c>
      <c r="J91" s="3"/>
      <c r="K91" s="3">
        <f t="shared" si="8"/>
        <v>0</v>
      </c>
      <c r="L91" s="3"/>
      <c r="M91" s="3">
        <v>0</v>
      </c>
      <c r="N91" s="1"/>
      <c r="O91" s="3">
        <v>0</v>
      </c>
      <c r="P91" s="3"/>
      <c r="Q91" s="3">
        <v>0</v>
      </c>
      <c r="R91" s="3"/>
      <c r="S91" s="3">
        <v>0</v>
      </c>
      <c r="T91" s="3"/>
      <c r="U91" s="3">
        <v>0</v>
      </c>
      <c r="V91" s="3"/>
      <c r="W91" s="3">
        <v>0</v>
      </c>
      <c r="X91" s="27"/>
      <c r="Y91" s="3">
        <v>0</v>
      </c>
      <c r="Z91" s="3"/>
      <c r="AA91" s="3">
        <f t="shared" si="7"/>
        <v>0</v>
      </c>
      <c r="AB91" s="3"/>
      <c r="AC91" s="3">
        <v>0</v>
      </c>
      <c r="AD91" s="3"/>
      <c r="AE91" s="3">
        <f t="shared" si="6"/>
        <v>0</v>
      </c>
      <c r="AF91" s="3"/>
    </row>
    <row r="92" spans="1:32">
      <c r="A92" s="13" t="s">
        <v>299</v>
      </c>
      <c r="B92" s="13"/>
      <c r="C92" s="13" t="s">
        <v>172</v>
      </c>
      <c r="E92" s="3">
        <v>4533514</v>
      </c>
      <c r="F92" s="3"/>
      <c r="G92" s="3">
        <v>121584</v>
      </c>
      <c r="H92" s="3"/>
      <c r="I92" s="3">
        <v>0</v>
      </c>
      <c r="J92" s="3"/>
      <c r="K92" s="3">
        <f t="shared" si="8"/>
        <v>4655098</v>
      </c>
      <c r="L92" s="3"/>
      <c r="M92" s="3">
        <v>0</v>
      </c>
      <c r="N92" s="1"/>
      <c r="O92" s="3">
        <v>744363</v>
      </c>
      <c r="P92" s="3"/>
      <c r="Q92" s="3">
        <v>18742</v>
      </c>
      <c r="R92" s="3"/>
      <c r="S92" s="3">
        <v>0</v>
      </c>
      <c r="T92" s="3"/>
      <c r="U92" s="3">
        <v>0</v>
      </c>
      <c r="V92" s="3"/>
      <c r="W92" s="3">
        <v>0</v>
      </c>
      <c r="X92" s="27"/>
      <c r="Y92" s="3">
        <v>0</v>
      </c>
      <c r="Z92" s="3"/>
      <c r="AA92" s="3">
        <f t="shared" si="7"/>
        <v>763105</v>
      </c>
      <c r="AB92" s="3"/>
      <c r="AC92" s="3">
        <v>0</v>
      </c>
      <c r="AD92" s="3"/>
      <c r="AE92" s="3">
        <f t="shared" si="6"/>
        <v>5418203</v>
      </c>
      <c r="AF92" s="3"/>
    </row>
    <row r="93" spans="1:32">
      <c r="A93" s="13" t="s">
        <v>300</v>
      </c>
      <c r="B93" s="13"/>
      <c r="C93" s="13" t="s">
        <v>173</v>
      </c>
      <c r="E93" s="3">
        <v>4874642</v>
      </c>
      <c r="F93" s="3"/>
      <c r="G93" s="3">
        <v>1035358</v>
      </c>
      <c r="H93" s="3"/>
      <c r="I93" s="3">
        <v>0</v>
      </c>
      <c r="J93" s="3"/>
      <c r="K93" s="3">
        <f t="shared" si="8"/>
        <v>5910000</v>
      </c>
      <c r="L93" s="3"/>
      <c r="M93" s="3">
        <v>0</v>
      </c>
      <c r="N93" s="1"/>
      <c r="O93" s="3">
        <v>252431</v>
      </c>
      <c r="P93" s="3"/>
      <c r="Q93" s="3">
        <v>1819</v>
      </c>
      <c r="R93" s="3"/>
      <c r="S93" s="3">
        <v>0</v>
      </c>
      <c r="T93" s="3"/>
      <c r="U93" s="3">
        <v>0</v>
      </c>
      <c r="V93" s="3"/>
      <c r="W93" s="3">
        <v>3481</v>
      </c>
      <c r="X93" s="27"/>
      <c r="Y93" s="3">
        <v>0</v>
      </c>
      <c r="Z93" s="3"/>
      <c r="AA93" s="3">
        <f t="shared" si="7"/>
        <v>257731</v>
      </c>
      <c r="AB93" s="3"/>
      <c r="AC93" s="3">
        <v>0</v>
      </c>
      <c r="AD93" s="3"/>
      <c r="AE93" s="3">
        <f t="shared" si="6"/>
        <v>6167731</v>
      </c>
      <c r="AF93" s="3"/>
    </row>
    <row r="94" spans="1:32">
      <c r="A94" s="13" t="s">
        <v>301</v>
      </c>
      <c r="B94" s="13"/>
      <c r="C94" s="13" t="s">
        <v>148</v>
      </c>
      <c r="E94" s="3">
        <v>9021475</v>
      </c>
      <c r="F94" s="3"/>
      <c r="G94" s="3">
        <v>2919422</v>
      </c>
      <c r="H94" s="3"/>
      <c r="I94" s="3">
        <v>0</v>
      </c>
      <c r="J94" s="3"/>
      <c r="K94" s="3">
        <f t="shared" si="8"/>
        <v>11940897</v>
      </c>
      <c r="L94" s="3"/>
      <c r="M94" s="3">
        <v>5671712</v>
      </c>
      <c r="N94" s="1"/>
      <c r="O94" s="3">
        <v>2014946</v>
      </c>
      <c r="P94" s="3"/>
      <c r="Q94" s="3">
        <v>29</v>
      </c>
      <c r="R94" s="3"/>
      <c r="S94" s="3">
        <v>0</v>
      </c>
      <c r="T94" s="3"/>
      <c r="U94" s="3">
        <v>0</v>
      </c>
      <c r="V94" s="3"/>
      <c r="W94" s="3">
        <v>149148</v>
      </c>
      <c r="X94" s="27"/>
      <c r="Y94" s="3">
        <v>0</v>
      </c>
      <c r="Z94" s="3"/>
      <c r="AA94" s="3">
        <f t="shared" si="7"/>
        <v>7835835</v>
      </c>
      <c r="AB94" s="3"/>
      <c r="AC94" s="3">
        <v>0</v>
      </c>
      <c r="AD94" s="3"/>
      <c r="AE94" s="3">
        <f t="shared" si="6"/>
        <v>19776732</v>
      </c>
      <c r="AF94" s="3"/>
    </row>
    <row r="95" spans="1:32">
      <c r="A95" s="13" t="s">
        <v>302</v>
      </c>
      <c r="B95" s="13"/>
      <c r="C95" s="13" t="s">
        <v>174</v>
      </c>
      <c r="E95" s="3">
        <v>1777775</v>
      </c>
      <c r="F95" s="3"/>
      <c r="G95" s="3">
        <v>179090</v>
      </c>
      <c r="H95" s="3"/>
      <c r="I95" s="3">
        <v>0</v>
      </c>
      <c r="J95" s="3"/>
      <c r="K95" s="3">
        <f t="shared" si="8"/>
        <v>1956865</v>
      </c>
      <c r="L95" s="3"/>
      <c r="M95" s="3">
        <v>0</v>
      </c>
      <c r="N95" s="1"/>
      <c r="O95" s="3">
        <v>383382</v>
      </c>
      <c r="P95" s="3"/>
      <c r="Q95" s="3">
        <v>1063</v>
      </c>
      <c r="R95" s="3"/>
      <c r="S95" s="3">
        <v>0</v>
      </c>
      <c r="T95" s="3"/>
      <c r="U95" s="3">
        <v>0</v>
      </c>
      <c r="V95" s="3"/>
      <c r="W95" s="3">
        <v>59166</v>
      </c>
      <c r="X95" s="27"/>
      <c r="Y95" s="3">
        <v>0</v>
      </c>
      <c r="Z95" s="3"/>
      <c r="AA95" s="3">
        <f t="shared" si="7"/>
        <v>443611</v>
      </c>
      <c r="AB95" s="3"/>
      <c r="AC95" s="3">
        <v>0</v>
      </c>
      <c r="AD95" s="3"/>
      <c r="AE95" s="3">
        <f t="shared" si="6"/>
        <v>2400476</v>
      </c>
      <c r="AF95" s="3"/>
    </row>
    <row r="96" spans="1:32">
      <c r="A96" s="3" t="s">
        <v>303</v>
      </c>
      <c r="B96" s="3"/>
      <c r="C96" s="3" t="s">
        <v>175</v>
      </c>
      <c r="E96" s="3">
        <v>8295339</v>
      </c>
      <c r="F96" s="3"/>
      <c r="G96" s="3">
        <v>1759477</v>
      </c>
      <c r="H96" s="3"/>
      <c r="I96" s="3">
        <v>0</v>
      </c>
      <c r="J96" s="3"/>
      <c r="K96" s="3">
        <f>SUM(E96:J96)</f>
        <v>10054816</v>
      </c>
      <c r="L96" s="3"/>
      <c r="M96" s="3">
        <v>0</v>
      </c>
      <c r="N96" s="1"/>
      <c r="O96" s="3">
        <v>487804</v>
      </c>
      <c r="P96" s="3"/>
      <c r="Q96" s="3">
        <v>1411</v>
      </c>
      <c r="R96" s="3"/>
      <c r="S96" s="3">
        <v>0</v>
      </c>
      <c r="T96" s="3"/>
      <c r="U96" s="3">
        <v>0</v>
      </c>
      <c r="V96" s="3"/>
      <c r="W96" s="3">
        <v>43925</v>
      </c>
      <c r="X96" s="27"/>
      <c r="Y96" s="3">
        <v>0</v>
      </c>
      <c r="Z96" s="3"/>
      <c r="AA96" s="3">
        <f t="shared" si="7"/>
        <v>533140</v>
      </c>
      <c r="AB96" s="3"/>
      <c r="AC96" s="3">
        <v>-1749723</v>
      </c>
      <c r="AD96" s="3"/>
      <c r="AE96" s="3">
        <f>+AA96+K96+AC96</f>
        <v>8838233</v>
      </c>
      <c r="AF96" s="3"/>
    </row>
    <row r="97" spans="1:32">
      <c r="A97" s="13" t="s">
        <v>304</v>
      </c>
      <c r="B97" s="13"/>
      <c r="C97" s="13" t="s">
        <v>176</v>
      </c>
      <c r="E97" s="3">
        <v>3505970</v>
      </c>
      <c r="F97" s="3"/>
      <c r="G97" s="3">
        <v>58972</v>
      </c>
      <c r="H97" s="3"/>
      <c r="I97" s="3">
        <v>0</v>
      </c>
      <c r="J97" s="3"/>
      <c r="K97" s="3">
        <f t="shared" si="8"/>
        <v>3564942</v>
      </c>
      <c r="L97" s="3"/>
      <c r="M97" s="3">
        <v>0</v>
      </c>
      <c r="N97" s="1"/>
      <c r="O97" s="3">
        <v>211805</v>
      </c>
      <c r="P97" s="3"/>
      <c r="Q97" s="3">
        <v>242</v>
      </c>
      <c r="R97" s="3"/>
      <c r="S97" s="3">
        <v>0</v>
      </c>
      <c r="T97" s="3"/>
      <c r="U97" s="3">
        <v>49579</v>
      </c>
      <c r="V97" s="3"/>
      <c r="W97" s="3">
        <v>110011</v>
      </c>
      <c r="X97" s="27"/>
      <c r="Y97" s="3">
        <v>0</v>
      </c>
      <c r="Z97" s="3"/>
      <c r="AA97" s="3">
        <f t="shared" si="7"/>
        <v>371637</v>
      </c>
      <c r="AB97" s="3"/>
      <c r="AC97" s="3">
        <v>0</v>
      </c>
      <c r="AD97" s="3"/>
      <c r="AE97" s="3">
        <f t="shared" si="6"/>
        <v>3936579</v>
      </c>
      <c r="AF97" s="3"/>
    </row>
    <row r="98" spans="1:32">
      <c r="A98" s="13" t="s">
        <v>359</v>
      </c>
      <c r="B98" s="13"/>
      <c r="C98" s="13" t="s">
        <v>144</v>
      </c>
      <c r="E98" s="3">
        <v>5872645</v>
      </c>
      <c r="F98" s="3"/>
      <c r="G98" s="3">
        <v>1988385</v>
      </c>
      <c r="H98" s="3"/>
      <c r="I98" s="3">
        <v>0</v>
      </c>
      <c r="J98" s="3"/>
      <c r="K98" s="3">
        <f t="shared" si="8"/>
        <v>7861030</v>
      </c>
      <c r="L98" s="3"/>
      <c r="M98" s="3">
        <v>0</v>
      </c>
      <c r="N98" s="1"/>
      <c r="O98" s="3">
        <v>2329239</v>
      </c>
      <c r="P98" s="3"/>
      <c r="Q98" s="3">
        <v>46109</v>
      </c>
      <c r="R98" s="3"/>
      <c r="S98" s="3">
        <v>0</v>
      </c>
      <c r="T98" s="3"/>
      <c r="U98" s="3">
        <v>0</v>
      </c>
      <c r="V98" s="3"/>
      <c r="W98" s="3">
        <v>253235</v>
      </c>
      <c r="X98" s="27"/>
      <c r="Y98" s="3">
        <v>0</v>
      </c>
      <c r="Z98" s="3"/>
      <c r="AA98" s="3">
        <f t="shared" si="7"/>
        <v>2628583</v>
      </c>
      <c r="AB98" s="3"/>
      <c r="AC98" s="3">
        <v>0</v>
      </c>
      <c r="AD98" s="3"/>
      <c r="AE98" s="3">
        <f t="shared" si="6"/>
        <v>10489613</v>
      </c>
      <c r="AF98" s="3"/>
    </row>
    <row r="99" spans="1:32">
      <c r="A99" s="13" t="s">
        <v>358</v>
      </c>
      <c r="B99" s="13"/>
      <c r="C99" s="13" t="s">
        <v>177</v>
      </c>
      <c r="E99" s="3">
        <v>16336061</v>
      </c>
      <c r="F99" s="3"/>
      <c r="G99" s="3">
        <v>4375591</v>
      </c>
      <c r="H99" s="3"/>
      <c r="I99" s="3">
        <v>0</v>
      </c>
      <c r="J99" s="3"/>
      <c r="K99" s="3">
        <f t="shared" si="8"/>
        <v>20711652</v>
      </c>
      <c r="L99" s="3"/>
      <c r="M99" s="3">
        <v>0</v>
      </c>
      <c r="N99" s="1"/>
      <c r="O99" s="3">
        <v>2705405</v>
      </c>
      <c r="P99" s="3"/>
      <c r="Q99" s="3">
        <v>10012</v>
      </c>
      <c r="R99" s="3"/>
      <c r="S99" s="3">
        <v>0</v>
      </c>
      <c r="T99" s="3"/>
      <c r="U99" s="3">
        <v>0</v>
      </c>
      <c r="V99" s="3"/>
      <c r="W99" s="3">
        <v>212309</v>
      </c>
      <c r="X99" s="27"/>
      <c r="Y99" s="3">
        <v>0</v>
      </c>
      <c r="Z99" s="3"/>
      <c r="AA99" s="3">
        <f t="shared" si="7"/>
        <v>2927726</v>
      </c>
      <c r="AB99" s="3"/>
      <c r="AC99" s="3">
        <v>0</v>
      </c>
      <c r="AD99" s="3"/>
      <c r="AE99" s="3">
        <f t="shared" si="6"/>
        <v>23639378</v>
      </c>
      <c r="AF99" s="3"/>
    </row>
    <row r="100" spans="1:32" hidden="1">
      <c r="A100" s="3" t="s">
        <v>322</v>
      </c>
      <c r="B100" s="13"/>
      <c r="C100" s="13" t="s">
        <v>153</v>
      </c>
      <c r="E100" s="3">
        <v>0</v>
      </c>
      <c r="F100" s="3"/>
      <c r="G100" s="3">
        <v>0</v>
      </c>
      <c r="H100" s="3"/>
      <c r="I100" s="3">
        <v>0</v>
      </c>
      <c r="J100" s="3"/>
      <c r="K100" s="3">
        <f t="shared" si="8"/>
        <v>0</v>
      </c>
      <c r="L100" s="3"/>
      <c r="M100" s="3">
        <v>0</v>
      </c>
      <c r="N100" s="1"/>
      <c r="O100" s="3">
        <v>0</v>
      </c>
      <c r="P100" s="3"/>
      <c r="Q100" s="3">
        <v>0</v>
      </c>
      <c r="R100" s="3"/>
      <c r="S100" s="3">
        <v>0</v>
      </c>
      <c r="T100" s="3"/>
      <c r="U100" s="3">
        <v>0</v>
      </c>
      <c r="V100" s="3"/>
      <c r="W100" s="3">
        <v>0</v>
      </c>
      <c r="X100" s="27"/>
      <c r="Y100" s="3">
        <v>0</v>
      </c>
      <c r="Z100" s="3"/>
      <c r="AA100" s="3">
        <f t="shared" si="7"/>
        <v>0</v>
      </c>
      <c r="AB100" s="3"/>
      <c r="AC100" s="3">
        <v>0</v>
      </c>
      <c r="AD100" s="3"/>
      <c r="AE100" s="3">
        <f t="shared" si="6"/>
        <v>0</v>
      </c>
      <c r="AF100" s="3"/>
    </row>
    <row r="101" spans="1:32">
      <c r="A101" s="3" t="s">
        <v>323</v>
      </c>
      <c r="B101" s="13"/>
      <c r="C101" s="13" t="s">
        <v>178</v>
      </c>
      <c r="E101" s="3">
        <v>15765104</v>
      </c>
      <c r="F101" s="3"/>
      <c r="G101" s="3">
        <v>4749296</v>
      </c>
      <c r="H101" s="3"/>
      <c r="I101" s="3">
        <v>0</v>
      </c>
      <c r="J101" s="3"/>
      <c r="K101" s="3">
        <f t="shared" si="8"/>
        <v>20514400</v>
      </c>
      <c r="L101" s="3"/>
      <c r="M101" s="3">
        <v>0</v>
      </c>
      <c r="N101" s="1"/>
      <c r="O101" s="3">
        <v>1789820</v>
      </c>
      <c r="P101" s="3"/>
      <c r="Q101" s="3">
        <v>23056</v>
      </c>
      <c r="R101" s="3"/>
      <c r="S101" s="3">
        <v>0</v>
      </c>
      <c r="T101" s="3"/>
      <c r="U101" s="3">
        <v>0</v>
      </c>
      <c r="V101" s="3"/>
      <c r="W101" s="3">
        <v>64512</v>
      </c>
      <c r="X101" s="27"/>
      <c r="Y101" s="3">
        <v>0</v>
      </c>
      <c r="Z101" s="3"/>
      <c r="AA101" s="3">
        <f t="shared" si="7"/>
        <v>1877388</v>
      </c>
      <c r="AB101" s="3"/>
      <c r="AC101" s="3">
        <v>0</v>
      </c>
      <c r="AD101" s="3"/>
      <c r="AE101" s="3">
        <f t="shared" ref="AE101:AE130" si="9">+AA101+K101</f>
        <v>22391788</v>
      </c>
      <c r="AF101" s="3"/>
    </row>
    <row r="102" spans="1:32">
      <c r="A102" s="3" t="s">
        <v>179</v>
      </c>
      <c r="B102" s="13"/>
      <c r="C102" s="13" t="s">
        <v>180</v>
      </c>
      <c r="E102" s="3">
        <v>4323693</v>
      </c>
      <c r="F102" s="3"/>
      <c r="G102" s="3">
        <v>118084</v>
      </c>
      <c r="H102" s="3"/>
      <c r="I102" s="3">
        <v>0</v>
      </c>
      <c r="J102" s="3"/>
      <c r="K102" s="3">
        <f t="shared" si="8"/>
        <v>4441777</v>
      </c>
      <c r="L102" s="3"/>
      <c r="M102" s="3">
        <v>0</v>
      </c>
      <c r="N102" s="1"/>
      <c r="O102" s="3">
        <v>1464934</v>
      </c>
      <c r="P102" s="3"/>
      <c r="Q102" s="3">
        <v>16241</v>
      </c>
      <c r="R102" s="3"/>
      <c r="S102" s="3">
        <v>0</v>
      </c>
      <c r="T102" s="3"/>
      <c r="U102" s="3">
        <v>0</v>
      </c>
      <c r="V102" s="3"/>
      <c r="W102" s="3">
        <v>2875</v>
      </c>
      <c r="X102" s="27"/>
      <c r="Y102" s="3">
        <v>0</v>
      </c>
      <c r="Z102" s="3"/>
      <c r="AA102" s="3">
        <f t="shared" si="7"/>
        <v>1484050</v>
      </c>
      <c r="AB102" s="3"/>
      <c r="AC102" s="3">
        <v>0</v>
      </c>
      <c r="AD102" s="3"/>
      <c r="AE102" s="3">
        <f t="shared" si="9"/>
        <v>5925827</v>
      </c>
      <c r="AF102" s="3"/>
    </row>
    <row r="103" spans="1:32" hidden="1">
      <c r="A103" s="3" t="s">
        <v>324</v>
      </c>
      <c r="B103" s="13"/>
      <c r="C103" s="13" t="s">
        <v>181</v>
      </c>
      <c r="E103" s="3">
        <v>0</v>
      </c>
      <c r="F103" s="3"/>
      <c r="G103" s="3">
        <v>0</v>
      </c>
      <c r="H103" s="3"/>
      <c r="I103" s="3">
        <v>0</v>
      </c>
      <c r="J103" s="3"/>
      <c r="K103" s="3">
        <f t="shared" si="8"/>
        <v>0</v>
      </c>
      <c r="L103" s="3"/>
      <c r="M103" s="3">
        <v>0</v>
      </c>
      <c r="N103" s="1"/>
      <c r="O103" s="3">
        <v>0</v>
      </c>
      <c r="P103" s="3"/>
      <c r="Q103" s="3">
        <v>0</v>
      </c>
      <c r="R103" s="3"/>
      <c r="S103" s="3">
        <v>0</v>
      </c>
      <c r="T103" s="3"/>
      <c r="U103" s="3">
        <v>0</v>
      </c>
      <c r="V103" s="3"/>
      <c r="W103" s="3">
        <v>0</v>
      </c>
      <c r="X103" s="27"/>
      <c r="Y103" s="3">
        <v>0</v>
      </c>
      <c r="Z103" s="3"/>
      <c r="AA103" s="3">
        <f t="shared" si="7"/>
        <v>0</v>
      </c>
      <c r="AB103" s="3"/>
      <c r="AC103" s="3">
        <v>0</v>
      </c>
      <c r="AD103" s="3"/>
      <c r="AE103" s="3">
        <f t="shared" si="9"/>
        <v>0</v>
      </c>
      <c r="AF103" s="3"/>
    </row>
    <row r="104" spans="1:32">
      <c r="A104" s="3" t="s">
        <v>325</v>
      </c>
      <c r="B104" s="13"/>
      <c r="C104" s="13" t="s">
        <v>182</v>
      </c>
      <c r="E104" s="3">
        <v>11418317</v>
      </c>
      <c r="F104" s="3"/>
      <c r="G104" s="3">
        <v>790628</v>
      </c>
      <c r="H104" s="3"/>
      <c r="I104" s="3">
        <v>0</v>
      </c>
      <c r="J104" s="3"/>
      <c r="K104" s="3">
        <f t="shared" si="8"/>
        <v>12208945</v>
      </c>
      <c r="L104" s="3"/>
      <c r="M104" s="3">
        <v>0</v>
      </c>
      <c r="N104" s="1"/>
      <c r="O104" s="3">
        <v>494829</v>
      </c>
      <c r="P104" s="3"/>
      <c r="Q104" s="3">
        <v>9278</v>
      </c>
      <c r="R104" s="3"/>
      <c r="S104" s="3">
        <v>0</v>
      </c>
      <c r="T104" s="3"/>
      <c r="U104" s="3">
        <v>1046</v>
      </c>
      <c r="V104" s="3"/>
      <c r="W104" s="3">
        <v>89262</v>
      </c>
      <c r="X104" s="27"/>
      <c r="Y104" s="3">
        <v>0</v>
      </c>
      <c r="Z104" s="3"/>
      <c r="AA104" s="3">
        <f t="shared" si="7"/>
        <v>594415</v>
      </c>
      <c r="AB104" s="3"/>
      <c r="AC104" s="3">
        <v>0</v>
      </c>
      <c r="AD104" s="3"/>
      <c r="AE104" s="3">
        <f t="shared" si="9"/>
        <v>12803360</v>
      </c>
      <c r="AF104" s="3"/>
    </row>
    <row r="105" spans="1:32" hidden="1">
      <c r="A105" s="3" t="s">
        <v>280</v>
      </c>
      <c r="B105" s="3"/>
      <c r="C105" s="3" t="s">
        <v>191</v>
      </c>
      <c r="E105" s="3">
        <v>0</v>
      </c>
      <c r="F105" s="3"/>
      <c r="G105" s="3">
        <v>0</v>
      </c>
      <c r="H105" s="3"/>
      <c r="I105" s="3">
        <v>0</v>
      </c>
      <c r="J105" s="3"/>
      <c r="K105" s="3">
        <f>SUM(E105:J105)</f>
        <v>0</v>
      </c>
      <c r="L105" s="3"/>
      <c r="M105" s="3">
        <v>0</v>
      </c>
      <c r="N105" s="1"/>
      <c r="O105" s="3">
        <v>0</v>
      </c>
      <c r="P105" s="3"/>
      <c r="Q105" s="3">
        <v>0</v>
      </c>
      <c r="R105" s="3"/>
      <c r="S105" s="3">
        <v>0</v>
      </c>
      <c r="T105" s="3"/>
      <c r="U105" s="3">
        <v>0</v>
      </c>
      <c r="V105" s="3"/>
      <c r="W105" s="3">
        <v>0</v>
      </c>
      <c r="X105" s="27"/>
      <c r="Y105" s="3">
        <v>0</v>
      </c>
      <c r="Z105" s="3"/>
      <c r="AA105" s="3">
        <f t="shared" si="7"/>
        <v>0</v>
      </c>
      <c r="AB105" s="3"/>
      <c r="AC105" s="3">
        <v>0</v>
      </c>
      <c r="AD105" s="3"/>
      <c r="AE105" s="3">
        <f t="shared" si="9"/>
        <v>0</v>
      </c>
      <c r="AF105" s="3"/>
    </row>
    <row r="106" spans="1:32">
      <c r="A106" s="3" t="s">
        <v>326</v>
      </c>
      <c r="B106" s="13"/>
      <c r="C106" s="13" t="s">
        <v>183</v>
      </c>
      <c r="E106" s="3">
        <v>24541915</v>
      </c>
      <c r="F106" s="3"/>
      <c r="G106" s="3">
        <v>4794428</v>
      </c>
      <c r="H106" s="3"/>
      <c r="I106" s="3">
        <v>0</v>
      </c>
      <c r="J106" s="3"/>
      <c r="K106" s="3">
        <f t="shared" si="8"/>
        <v>29336343</v>
      </c>
      <c r="L106" s="3"/>
      <c r="M106" s="3">
        <v>0</v>
      </c>
      <c r="N106" s="1"/>
      <c r="O106" s="3">
        <v>1428915</v>
      </c>
      <c r="P106" s="3"/>
      <c r="Q106" s="3">
        <v>25637</v>
      </c>
      <c r="R106" s="3"/>
      <c r="S106" s="3">
        <v>0</v>
      </c>
      <c r="T106" s="3"/>
      <c r="U106" s="3">
        <v>35600</v>
      </c>
      <c r="V106" s="3"/>
      <c r="W106" s="3">
        <v>63399</v>
      </c>
      <c r="X106" s="27"/>
      <c r="Y106" s="3">
        <v>0</v>
      </c>
      <c r="Z106" s="3"/>
      <c r="AA106" s="3">
        <f t="shared" si="7"/>
        <v>1553551</v>
      </c>
      <c r="AB106" s="3"/>
      <c r="AC106" s="3">
        <v>0</v>
      </c>
      <c r="AD106" s="3"/>
      <c r="AE106" s="3">
        <f t="shared" si="9"/>
        <v>30889894</v>
      </c>
      <c r="AF106" s="3"/>
    </row>
    <row r="107" spans="1:32">
      <c r="A107" s="3" t="s">
        <v>184</v>
      </c>
      <c r="B107" s="13"/>
      <c r="C107" s="13" t="s">
        <v>185</v>
      </c>
      <c r="E107" s="3">
        <v>12607665</v>
      </c>
      <c r="F107" s="3"/>
      <c r="G107" s="3">
        <v>3953209</v>
      </c>
      <c r="H107" s="3"/>
      <c r="I107" s="3">
        <v>0</v>
      </c>
      <c r="J107" s="3"/>
      <c r="K107" s="3">
        <f t="shared" si="8"/>
        <v>16560874</v>
      </c>
      <c r="L107" s="3"/>
      <c r="M107" s="3">
        <v>0</v>
      </c>
      <c r="N107" s="1"/>
      <c r="O107" s="3">
        <v>980119</v>
      </c>
      <c r="P107" s="3"/>
      <c r="Q107" s="3">
        <v>21380</v>
      </c>
      <c r="R107" s="3"/>
      <c r="S107" s="3">
        <v>0</v>
      </c>
      <c r="T107" s="3"/>
      <c r="U107" s="3">
        <v>0</v>
      </c>
      <c r="V107" s="3"/>
      <c r="W107" s="3">
        <v>51328</v>
      </c>
      <c r="X107" s="27"/>
      <c r="Y107" s="3">
        <v>0</v>
      </c>
      <c r="Z107" s="3"/>
      <c r="AA107" s="3">
        <f t="shared" si="7"/>
        <v>1052827</v>
      </c>
      <c r="AB107" s="3"/>
      <c r="AC107" s="3">
        <v>0</v>
      </c>
      <c r="AD107" s="3"/>
      <c r="AE107" s="3">
        <f t="shared" si="9"/>
        <v>17613701</v>
      </c>
      <c r="AF107" s="3"/>
    </row>
    <row r="108" spans="1:32">
      <c r="A108" s="3" t="s">
        <v>268</v>
      </c>
      <c r="B108" s="13"/>
      <c r="C108" s="13" t="s">
        <v>195</v>
      </c>
      <c r="E108" s="3">
        <v>12826963</v>
      </c>
      <c r="F108" s="3"/>
      <c r="G108" s="3">
        <v>2387060</v>
      </c>
      <c r="H108" s="3"/>
      <c r="I108" s="3">
        <v>0</v>
      </c>
      <c r="J108" s="3"/>
      <c r="K108" s="3">
        <f t="shared" ref="K108:K109" si="10">SUM(E108:J108)</f>
        <v>15214023</v>
      </c>
      <c r="L108" s="3"/>
      <c r="M108" s="3">
        <v>0</v>
      </c>
      <c r="N108" s="1"/>
      <c r="O108" s="3">
        <v>3133038</v>
      </c>
      <c r="P108" s="3"/>
      <c r="Q108" s="3">
        <v>1410</v>
      </c>
      <c r="R108" s="3"/>
      <c r="S108" s="3">
        <v>0</v>
      </c>
      <c r="T108" s="3"/>
      <c r="U108" s="3">
        <v>0</v>
      </c>
      <c r="V108" s="3"/>
      <c r="W108" s="3">
        <v>384345</v>
      </c>
      <c r="X108" s="27"/>
      <c r="Y108" s="3">
        <v>0</v>
      </c>
      <c r="Z108" s="3"/>
      <c r="AA108" s="3">
        <f t="shared" ref="AA108" si="11">SUM(M108:Y108)</f>
        <v>3518793</v>
      </c>
      <c r="AB108" s="3"/>
      <c r="AC108" s="3">
        <v>0</v>
      </c>
      <c r="AD108" s="3"/>
      <c r="AE108" s="3">
        <f t="shared" si="9"/>
        <v>18732816</v>
      </c>
      <c r="AF108" s="3"/>
    </row>
    <row r="109" spans="1:32">
      <c r="A109" s="13" t="s">
        <v>305</v>
      </c>
      <c r="B109" s="13"/>
      <c r="C109" s="13" t="s">
        <v>162</v>
      </c>
      <c r="E109" s="3">
        <v>16659263</v>
      </c>
      <c r="F109" s="3"/>
      <c r="G109" s="3">
        <v>650331</v>
      </c>
      <c r="H109" s="3"/>
      <c r="I109" s="3">
        <v>0</v>
      </c>
      <c r="J109" s="3"/>
      <c r="K109" s="3">
        <f t="shared" si="10"/>
        <v>17309594</v>
      </c>
      <c r="L109" s="3"/>
      <c r="M109" s="3">
        <v>0</v>
      </c>
      <c r="N109" s="1"/>
      <c r="O109" s="3">
        <v>2375257</v>
      </c>
      <c r="P109" s="3"/>
      <c r="Q109" s="3">
        <v>12341</v>
      </c>
      <c r="R109" s="3"/>
      <c r="S109" s="3">
        <v>0</v>
      </c>
      <c r="T109" s="3"/>
      <c r="U109" s="3">
        <v>0</v>
      </c>
      <c r="V109" s="3"/>
      <c r="W109" s="3">
        <v>50636</v>
      </c>
      <c r="X109" s="27"/>
      <c r="Y109" s="3">
        <v>0</v>
      </c>
      <c r="Z109" s="3"/>
      <c r="AA109" s="3">
        <f t="shared" ref="AA109" si="12">SUM(M109:Y109)</f>
        <v>2438234</v>
      </c>
      <c r="AB109" s="3"/>
      <c r="AC109" s="3">
        <v>0</v>
      </c>
      <c r="AD109" s="3"/>
      <c r="AE109" s="3">
        <f t="shared" ref="AE109" si="13">+AA109+K109</f>
        <v>19747828</v>
      </c>
      <c r="AF109" s="3"/>
    </row>
    <row r="110" spans="1:32">
      <c r="A110" s="3" t="s">
        <v>165</v>
      </c>
      <c r="B110" s="13"/>
      <c r="C110" s="3" t="s">
        <v>327</v>
      </c>
      <c r="E110" s="3">
        <v>14575188</v>
      </c>
      <c r="F110" s="3"/>
      <c r="G110" s="3">
        <v>7460909</v>
      </c>
      <c r="H110" s="3"/>
      <c r="I110" s="3">
        <v>0</v>
      </c>
      <c r="J110" s="3"/>
      <c r="K110" s="3">
        <f t="shared" si="8"/>
        <v>22036097</v>
      </c>
      <c r="L110" s="3"/>
      <c r="M110" s="3">
        <v>0</v>
      </c>
      <c r="N110" s="1"/>
      <c r="O110" s="3">
        <v>704470</v>
      </c>
      <c r="P110" s="3"/>
      <c r="Q110" s="3">
        <v>6234</v>
      </c>
      <c r="R110" s="3"/>
      <c r="S110" s="3">
        <v>0</v>
      </c>
      <c r="T110" s="3"/>
      <c r="U110" s="3">
        <v>3000</v>
      </c>
      <c r="V110" s="3"/>
      <c r="W110" s="3">
        <f>200964+72483</f>
        <v>273447</v>
      </c>
      <c r="X110" s="27"/>
      <c r="Y110" s="3">
        <v>0</v>
      </c>
      <c r="Z110" s="3"/>
      <c r="AA110" s="3">
        <f t="shared" si="7"/>
        <v>987151</v>
      </c>
      <c r="AB110" s="3"/>
      <c r="AC110" s="3">
        <v>0</v>
      </c>
      <c r="AD110" s="3"/>
      <c r="AE110" s="3">
        <f t="shared" si="9"/>
        <v>23023248</v>
      </c>
      <c r="AF110" s="3"/>
    </row>
    <row r="111" spans="1:32">
      <c r="A111" s="3" t="s">
        <v>314</v>
      </c>
      <c r="B111" s="13"/>
      <c r="C111" s="3" t="s">
        <v>262</v>
      </c>
      <c r="E111" s="3">
        <v>5609884</v>
      </c>
      <c r="F111" s="3"/>
      <c r="G111" s="3">
        <v>1972918</v>
      </c>
      <c r="H111" s="3"/>
      <c r="I111" s="3">
        <v>0</v>
      </c>
      <c r="J111" s="3"/>
      <c r="K111" s="3">
        <f t="shared" si="8"/>
        <v>7582802</v>
      </c>
      <c r="L111" s="3"/>
      <c r="M111" s="3">
        <v>0</v>
      </c>
      <c r="N111" s="1"/>
      <c r="O111" s="3">
        <v>785072</v>
      </c>
      <c r="P111" s="3"/>
      <c r="Q111" s="3">
        <v>6575</v>
      </c>
      <c r="R111" s="3"/>
      <c r="S111" s="3">
        <v>0</v>
      </c>
      <c r="T111" s="3"/>
      <c r="U111" s="3">
        <v>0</v>
      </c>
      <c r="V111" s="3"/>
      <c r="W111" s="3">
        <v>13202</v>
      </c>
      <c r="X111" s="27"/>
      <c r="Y111" s="3">
        <v>0</v>
      </c>
      <c r="Z111" s="3"/>
      <c r="AA111" s="3">
        <f t="shared" si="7"/>
        <v>804849</v>
      </c>
      <c r="AB111" s="3"/>
      <c r="AC111" s="3">
        <v>0</v>
      </c>
      <c r="AD111" s="3"/>
      <c r="AE111" s="3">
        <f t="shared" si="9"/>
        <v>8387651</v>
      </c>
      <c r="AF111" s="3"/>
    </row>
    <row r="112" spans="1:32" hidden="1">
      <c r="A112" s="3" t="s">
        <v>364</v>
      </c>
      <c r="B112" s="13"/>
      <c r="C112" s="13" t="s">
        <v>186</v>
      </c>
      <c r="E112" s="3">
        <v>0</v>
      </c>
      <c r="F112" s="3"/>
      <c r="G112" s="3">
        <v>0</v>
      </c>
      <c r="H112" s="3"/>
      <c r="I112" s="3">
        <v>0</v>
      </c>
      <c r="J112" s="3"/>
      <c r="K112" s="3">
        <f t="shared" si="8"/>
        <v>0</v>
      </c>
      <c r="L112" s="3"/>
      <c r="M112" s="3">
        <v>0</v>
      </c>
      <c r="N112" s="1"/>
      <c r="O112" s="3">
        <v>0</v>
      </c>
      <c r="P112" s="3"/>
      <c r="Q112" s="3">
        <v>0</v>
      </c>
      <c r="R112" s="3"/>
      <c r="S112" s="3">
        <v>0</v>
      </c>
      <c r="T112" s="3"/>
      <c r="U112" s="3">
        <v>0</v>
      </c>
      <c r="V112" s="3"/>
      <c r="W112" s="3">
        <v>0</v>
      </c>
      <c r="X112" s="27"/>
      <c r="Y112" s="3">
        <v>0</v>
      </c>
      <c r="Z112" s="3"/>
      <c r="AA112" s="3">
        <f t="shared" si="7"/>
        <v>0</v>
      </c>
      <c r="AB112" s="3"/>
      <c r="AC112" s="3">
        <v>0</v>
      </c>
      <c r="AD112" s="3"/>
      <c r="AE112" s="3">
        <f t="shared" si="9"/>
        <v>0</v>
      </c>
      <c r="AF112" s="3"/>
    </row>
    <row r="113" spans="1:32">
      <c r="A113" s="3" t="s">
        <v>338</v>
      </c>
      <c r="B113" s="13"/>
      <c r="C113" s="13" t="s">
        <v>187</v>
      </c>
      <c r="E113" s="3">
        <v>3013656</v>
      </c>
      <c r="F113" s="3"/>
      <c r="G113" s="3">
        <v>735199</v>
      </c>
      <c r="H113" s="3"/>
      <c r="I113" s="3">
        <v>0</v>
      </c>
      <c r="J113" s="3"/>
      <c r="K113" s="3">
        <f t="shared" si="8"/>
        <v>3748855</v>
      </c>
      <c r="L113" s="3"/>
      <c r="M113" s="3">
        <v>0</v>
      </c>
      <c r="N113" s="1"/>
      <c r="O113" s="3">
        <v>286633</v>
      </c>
      <c r="P113" s="3"/>
      <c r="Q113" s="3">
        <v>0</v>
      </c>
      <c r="R113" s="3"/>
      <c r="S113" s="3">
        <v>0</v>
      </c>
      <c r="T113" s="3"/>
      <c r="U113" s="3">
        <v>0</v>
      </c>
      <c r="V113" s="3"/>
      <c r="W113" s="3">
        <v>34334</v>
      </c>
      <c r="X113" s="27"/>
      <c r="Y113" s="3">
        <v>0</v>
      </c>
      <c r="Z113" s="3"/>
      <c r="AA113" s="3">
        <f t="shared" si="7"/>
        <v>320967</v>
      </c>
      <c r="AB113" s="3"/>
      <c r="AC113" s="3">
        <v>0</v>
      </c>
      <c r="AD113" s="3"/>
      <c r="AE113" s="3">
        <f t="shared" si="9"/>
        <v>4069822</v>
      </c>
      <c r="AF113" s="3"/>
    </row>
    <row r="114" spans="1:32">
      <c r="A114" s="3" t="s">
        <v>329</v>
      </c>
      <c r="B114" s="13"/>
      <c r="C114" s="13" t="s">
        <v>188</v>
      </c>
      <c r="E114" s="3">
        <v>5946575</v>
      </c>
      <c r="F114" s="3"/>
      <c r="G114" s="3">
        <v>246840</v>
      </c>
      <c r="H114" s="3"/>
      <c r="I114" s="3">
        <v>0</v>
      </c>
      <c r="J114" s="3"/>
      <c r="K114" s="3">
        <f t="shared" si="8"/>
        <v>6193415</v>
      </c>
      <c r="L114" s="3"/>
      <c r="M114" s="3">
        <v>0</v>
      </c>
      <c r="N114" s="1"/>
      <c r="O114" s="3">
        <v>1127934</v>
      </c>
      <c r="P114" s="3"/>
      <c r="Q114" s="3">
        <v>296</v>
      </c>
      <c r="R114" s="3"/>
      <c r="S114" s="3">
        <v>0</v>
      </c>
      <c r="T114" s="3"/>
      <c r="U114" s="3">
        <v>0</v>
      </c>
      <c r="V114" s="3"/>
      <c r="W114" s="3">
        <v>0</v>
      </c>
      <c r="X114" s="27"/>
      <c r="Y114" s="3">
        <v>0</v>
      </c>
      <c r="Z114" s="3"/>
      <c r="AA114" s="3">
        <f t="shared" si="7"/>
        <v>1128230</v>
      </c>
      <c r="AB114" s="3"/>
      <c r="AC114" s="3">
        <v>0</v>
      </c>
      <c r="AD114" s="3"/>
      <c r="AE114" s="3">
        <f t="shared" si="9"/>
        <v>7321645</v>
      </c>
      <c r="AF114" s="3"/>
    </row>
    <row r="115" spans="1:32" hidden="1">
      <c r="A115" s="13" t="s">
        <v>330</v>
      </c>
      <c r="B115" s="13"/>
      <c r="C115" s="13" t="s">
        <v>189</v>
      </c>
      <c r="E115" s="3">
        <v>0</v>
      </c>
      <c r="F115" s="3"/>
      <c r="G115" s="3">
        <v>0</v>
      </c>
      <c r="H115" s="3"/>
      <c r="I115" s="3">
        <v>0</v>
      </c>
      <c r="J115" s="3"/>
      <c r="K115" s="3">
        <f t="shared" si="8"/>
        <v>0</v>
      </c>
      <c r="L115" s="3"/>
      <c r="M115" s="3">
        <v>0</v>
      </c>
      <c r="N115" s="1"/>
      <c r="O115" s="3">
        <v>0</v>
      </c>
      <c r="P115" s="3"/>
      <c r="Q115" s="3">
        <v>0</v>
      </c>
      <c r="R115" s="3"/>
      <c r="S115" s="3">
        <v>0</v>
      </c>
      <c r="T115" s="3"/>
      <c r="U115" s="3">
        <v>0</v>
      </c>
      <c r="V115" s="3"/>
      <c r="W115" s="3">
        <v>0</v>
      </c>
      <c r="X115" s="27"/>
      <c r="Y115" s="3">
        <v>0</v>
      </c>
      <c r="Z115" s="3"/>
      <c r="AA115" s="3">
        <f t="shared" si="7"/>
        <v>0</v>
      </c>
      <c r="AB115" s="3"/>
      <c r="AC115" s="3">
        <v>0</v>
      </c>
      <c r="AD115" s="3"/>
      <c r="AE115" s="3">
        <f t="shared" si="9"/>
        <v>0</v>
      </c>
      <c r="AF115" s="3"/>
    </row>
    <row r="116" spans="1:32">
      <c r="A116" s="3" t="s">
        <v>331</v>
      </c>
      <c r="B116" s="13"/>
      <c r="C116" s="13" t="s">
        <v>190</v>
      </c>
      <c r="E116" s="3">
        <v>2070676</v>
      </c>
      <c r="F116" s="3"/>
      <c r="G116" s="3">
        <v>3171640</v>
      </c>
      <c r="H116" s="3"/>
      <c r="I116" s="3">
        <v>0</v>
      </c>
      <c r="J116" s="3"/>
      <c r="K116" s="3">
        <f t="shared" si="8"/>
        <v>5242316</v>
      </c>
      <c r="L116" s="3"/>
      <c r="M116" s="3">
        <v>0</v>
      </c>
      <c r="N116" s="1"/>
      <c r="O116" s="3">
        <v>748258</v>
      </c>
      <c r="P116" s="3"/>
      <c r="Q116" s="3">
        <v>9760</v>
      </c>
      <c r="R116" s="3"/>
      <c r="S116" s="3">
        <v>0</v>
      </c>
      <c r="T116" s="3"/>
      <c r="U116" s="3">
        <v>0</v>
      </c>
      <c r="V116" s="3"/>
      <c r="W116" s="3">
        <v>20163</v>
      </c>
      <c r="X116" s="27"/>
      <c r="Y116" s="3">
        <v>0</v>
      </c>
      <c r="Z116" s="3"/>
      <c r="AA116" s="3">
        <f t="shared" si="7"/>
        <v>778181</v>
      </c>
      <c r="AB116" s="3"/>
      <c r="AC116" s="3">
        <v>0</v>
      </c>
      <c r="AD116" s="3"/>
      <c r="AE116" s="3">
        <f t="shared" si="9"/>
        <v>6020497</v>
      </c>
      <c r="AF116" s="3"/>
    </row>
    <row r="117" spans="1:32">
      <c r="A117" s="3" t="s">
        <v>332</v>
      </c>
      <c r="B117" s="13"/>
      <c r="C117" s="13" t="s">
        <v>192</v>
      </c>
      <c r="E117" s="3">
        <v>5927214</v>
      </c>
      <c r="F117" s="3"/>
      <c r="G117" s="3">
        <v>2364693</v>
      </c>
      <c r="H117" s="3"/>
      <c r="I117" s="3">
        <v>0</v>
      </c>
      <c r="J117" s="3"/>
      <c r="K117" s="3">
        <f t="shared" si="8"/>
        <v>8291907</v>
      </c>
      <c r="L117" s="3"/>
      <c r="M117" s="3">
        <v>0</v>
      </c>
      <c r="N117" s="1"/>
      <c r="O117" s="3">
        <v>443502</v>
      </c>
      <c r="P117" s="3"/>
      <c r="Q117" s="3">
        <v>12182</v>
      </c>
      <c r="R117" s="3"/>
      <c r="S117" s="3">
        <v>0</v>
      </c>
      <c r="T117" s="3"/>
      <c r="U117" s="3">
        <v>0</v>
      </c>
      <c r="V117" s="3"/>
      <c r="W117" s="3">
        <v>226445</v>
      </c>
      <c r="X117" s="27"/>
      <c r="Y117" s="3">
        <v>0</v>
      </c>
      <c r="Z117" s="3"/>
      <c r="AA117" s="3">
        <f t="shared" si="7"/>
        <v>682129</v>
      </c>
      <c r="AB117" s="3"/>
      <c r="AC117" s="3">
        <v>0</v>
      </c>
      <c r="AD117" s="3"/>
      <c r="AE117" s="3">
        <f t="shared" si="9"/>
        <v>8974036</v>
      </c>
      <c r="AF117" s="3"/>
    </row>
    <row r="118" spans="1:32" hidden="1">
      <c r="A118" s="3" t="s">
        <v>306</v>
      </c>
      <c r="B118" s="13"/>
      <c r="C118" s="13" t="s">
        <v>193</v>
      </c>
      <c r="E118" s="3">
        <v>0</v>
      </c>
      <c r="F118" s="3"/>
      <c r="G118" s="3">
        <v>0</v>
      </c>
      <c r="H118" s="3"/>
      <c r="I118" s="3">
        <v>0</v>
      </c>
      <c r="J118" s="3"/>
      <c r="K118" s="3">
        <f t="shared" si="8"/>
        <v>0</v>
      </c>
      <c r="L118" s="3"/>
      <c r="M118" s="3">
        <v>0</v>
      </c>
      <c r="N118" s="1"/>
      <c r="O118" s="3">
        <v>0</v>
      </c>
      <c r="P118" s="3"/>
      <c r="Q118" s="3">
        <v>0</v>
      </c>
      <c r="R118" s="3"/>
      <c r="S118" s="3">
        <v>0</v>
      </c>
      <c r="T118" s="3"/>
      <c r="U118" s="3">
        <v>0</v>
      </c>
      <c r="V118" s="3"/>
      <c r="W118" s="3">
        <v>0</v>
      </c>
      <c r="X118" s="27"/>
      <c r="Y118" s="3">
        <v>0</v>
      </c>
      <c r="Z118" s="3"/>
      <c r="AA118" s="3">
        <f t="shared" si="7"/>
        <v>0</v>
      </c>
      <c r="AB118" s="3"/>
      <c r="AC118" s="3">
        <v>0</v>
      </c>
      <c r="AD118" s="3"/>
      <c r="AE118" s="3">
        <f t="shared" si="9"/>
        <v>0</v>
      </c>
      <c r="AF118" s="3"/>
    </row>
    <row r="119" spans="1:32" hidden="1">
      <c r="A119" s="3" t="s">
        <v>376</v>
      </c>
      <c r="B119" s="13"/>
      <c r="C119" s="13" t="s">
        <v>196</v>
      </c>
      <c r="E119" s="3">
        <v>0</v>
      </c>
      <c r="F119" s="3"/>
      <c r="G119" s="3">
        <v>0</v>
      </c>
      <c r="H119" s="3"/>
      <c r="I119" s="3">
        <v>0</v>
      </c>
      <c r="J119" s="3"/>
      <c r="K119" s="3">
        <f t="shared" si="8"/>
        <v>0</v>
      </c>
      <c r="L119" s="3"/>
      <c r="M119" s="3">
        <v>0</v>
      </c>
      <c r="N119" s="1"/>
      <c r="O119" s="3">
        <v>0</v>
      </c>
      <c r="P119" s="3"/>
      <c r="Q119" s="3">
        <v>0</v>
      </c>
      <c r="R119" s="3"/>
      <c r="S119" s="3">
        <v>0</v>
      </c>
      <c r="T119" s="3"/>
      <c r="U119" s="3">
        <v>0</v>
      </c>
      <c r="V119" s="3"/>
      <c r="W119" s="3">
        <v>0</v>
      </c>
      <c r="X119" s="27"/>
      <c r="Y119" s="3">
        <v>0</v>
      </c>
      <c r="Z119" s="3"/>
      <c r="AA119" s="3">
        <f t="shared" si="7"/>
        <v>0</v>
      </c>
      <c r="AB119" s="3"/>
      <c r="AC119" s="3">
        <v>0</v>
      </c>
      <c r="AD119" s="3"/>
      <c r="AE119" s="3">
        <f t="shared" si="9"/>
        <v>0</v>
      </c>
      <c r="AF119" s="3"/>
    </row>
    <row r="120" spans="1:32">
      <c r="A120" s="3" t="s">
        <v>266</v>
      </c>
      <c r="B120" s="13"/>
      <c r="C120" s="13" t="s">
        <v>194</v>
      </c>
      <c r="E120" s="3">
        <v>7169397</v>
      </c>
      <c r="F120" s="3"/>
      <c r="G120" s="3">
        <v>924219</v>
      </c>
      <c r="H120" s="3"/>
      <c r="I120" s="3">
        <v>0</v>
      </c>
      <c r="J120" s="3"/>
      <c r="K120" s="3">
        <f t="shared" si="8"/>
        <v>8093616</v>
      </c>
      <c r="L120" s="3"/>
      <c r="M120" s="3">
        <v>0</v>
      </c>
      <c r="N120" s="1"/>
      <c r="O120" s="3">
        <v>1212498</v>
      </c>
      <c r="P120" s="3"/>
      <c r="Q120" s="3">
        <v>9511</v>
      </c>
      <c r="R120" s="3"/>
      <c r="S120" s="3">
        <v>0</v>
      </c>
      <c r="T120" s="3"/>
      <c r="U120" s="3">
        <v>0</v>
      </c>
      <c r="V120" s="3"/>
      <c r="W120" s="3">
        <v>380</v>
      </c>
      <c r="X120" s="27"/>
      <c r="Y120" s="3">
        <v>0</v>
      </c>
      <c r="Z120" s="3"/>
      <c r="AA120" s="3">
        <f t="shared" si="7"/>
        <v>1222389</v>
      </c>
      <c r="AB120" s="3"/>
      <c r="AC120" s="3">
        <v>0</v>
      </c>
      <c r="AD120" s="3"/>
      <c r="AE120" s="3">
        <f t="shared" si="9"/>
        <v>9316005</v>
      </c>
      <c r="AF120" s="3"/>
    </row>
    <row r="121" spans="1:32">
      <c r="A121" s="3" t="s">
        <v>265</v>
      </c>
      <c r="B121" s="3"/>
      <c r="C121" s="3" t="s">
        <v>157</v>
      </c>
      <c r="E121" s="3">
        <v>2356482</v>
      </c>
      <c r="F121" s="3"/>
      <c r="G121" s="3">
        <v>385606</v>
      </c>
      <c r="H121" s="3"/>
      <c r="I121" s="3">
        <v>0</v>
      </c>
      <c r="J121" s="3"/>
      <c r="K121" s="3">
        <f>SUM(E121:J121)</f>
        <v>2742088</v>
      </c>
      <c r="L121" s="3"/>
      <c r="M121" s="3">
        <v>0</v>
      </c>
      <c r="N121" s="1"/>
      <c r="O121" s="3">
        <v>642930</v>
      </c>
      <c r="P121" s="3"/>
      <c r="Q121" s="3">
        <v>100897</v>
      </c>
      <c r="R121" s="3"/>
      <c r="S121" s="3">
        <v>0</v>
      </c>
      <c r="T121" s="3"/>
      <c r="U121" s="3">
        <v>1715</v>
      </c>
      <c r="V121" s="3"/>
      <c r="W121" s="3">
        <v>35308</v>
      </c>
      <c r="X121" s="27"/>
      <c r="Y121" s="3">
        <v>0</v>
      </c>
      <c r="Z121" s="3"/>
      <c r="AA121" s="3">
        <f t="shared" si="7"/>
        <v>780850</v>
      </c>
      <c r="AB121" s="3"/>
      <c r="AC121" s="3">
        <v>0</v>
      </c>
      <c r="AD121" s="3"/>
      <c r="AE121" s="3">
        <f t="shared" si="9"/>
        <v>3522938</v>
      </c>
      <c r="AF121" s="3"/>
    </row>
    <row r="122" spans="1:32">
      <c r="A122" s="13" t="s">
        <v>336</v>
      </c>
      <c r="B122" s="13"/>
      <c r="C122" s="13" t="s">
        <v>197</v>
      </c>
      <c r="E122" s="3">
        <v>13400870</v>
      </c>
      <c r="F122" s="3"/>
      <c r="G122" s="3">
        <v>2530361</v>
      </c>
      <c r="H122" s="3"/>
      <c r="I122" s="3">
        <v>0</v>
      </c>
      <c r="J122" s="3"/>
      <c r="K122" s="3">
        <f t="shared" si="8"/>
        <v>15931231</v>
      </c>
      <c r="L122" s="3"/>
      <c r="M122" s="3">
        <v>0</v>
      </c>
      <c r="N122" s="1"/>
      <c r="O122" s="3">
        <v>3092813</v>
      </c>
      <c r="P122" s="3"/>
      <c r="Q122" s="3">
        <v>22945</v>
      </c>
      <c r="R122" s="3"/>
      <c r="S122" s="3">
        <v>0</v>
      </c>
      <c r="T122" s="3"/>
      <c r="U122" s="3">
        <v>0</v>
      </c>
      <c r="V122" s="3"/>
      <c r="W122" s="3">
        <v>41095</v>
      </c>
      <c r="X122" s="27"/>
      <c r="Y122" s="3">
        <v>0</v>
      </c>
      <c r="Z122" s="3"/>
      <c r="AA122" s="3">
        <f t="shared" si="7"/>
        <v>3156853</v>
      </c>
      <c r="AB122" s="3"/>
      <c r="AC122" s="3">
        <v>0</v>
      </c>
      <c r="AD122" s="3"/>
      <c r="AE122" s="3">
        <f t="shared" si="9"/>
        <v>19088084</v>
      </c>
      <c r="AF122" s="3"/>
    </row>
    <row r="123" spans="1:32">
      <c r="A123" s="3" t="s">
        <v>337</v>
      </c>
      <c r="B123" s="13"/>
      <c r="C123" s="13" t="s">
        <v>198</v>
      </c>
      <c r="E123" s="3">
        <v>11213029</v>
      </c>
      <c r="F123" s="3"/>
      <c r="G123" s="3">
        <v>2537583</v>
      </c>
      <c r="H123" s="3"/>
      <c r="I123" s="3">
        <v>0</v>
      </c>
      <c r="J123" s="3"/>
      <c r="K123" s="3">
        <f t="shared" si="8"/>
        <v>13750612</v>
      </c>
      <c r="L123" s="3"/>
      <c r="M123" s="3">
        <v>0</v>
      </c>
      <c r="N123" s="1"/>
      <c r="O123" s="3">
        <v>2448486</v>
      </c>
      <c r="P123" s="3"/>
      <c r="Q123" s="3">
        <v>6361</v>
      </c>
      <c r="R123" s="3"/>
      <c r="S123" s="3">
        <v>0</v>
      </c>
      <c r="T123" s="3"/>
      <c r="U123" s="3">
        <v>0</v>
      </c>
      <c r="V123" s="3"/>
      <c r="W123" s="3">
        <v>15209</v>
      </c>
      <c r="X123" s="27"/>
      <c r="Y123" s="3">
        <v>0</v>
      </c>
      <c r="Z123" s="3"/>
      <c r="AA123" s="3">
        <f t="shared" si="7"/>
        <v>2470056</v>
      </c>
      <c r="AB123" s="3"/>
      <c r="AC123" s="3">
        <v>0</v>
      </c>
      <c r="AD123" s="3"/>
      <c r="AE123" s="3">
        <f t="shared" si="9"/>
        <v>16220668</v>
      </c>
      <c r="AF123" s="3"/>
    </row>
    <row r="124" spans="1:32" hidden="1">
      <c r="A124" s="3" t="s">
        <v>362</v>
      </c>
      <c r="B124" s="13"/>
      <c r="C124" s="13" t="s">
        <v>205</v>
      </c>
      <c r="E124" s="3">
        <v>0</v>
      </c>
      <c r="F124" s="3"/>
      <c r="G124" s="3">
        <v>0</v>
      </c>
      <c r="H124" s="3"/>
      <c r="I124" s="3">
        <v>0</v>
      </c>
      <c r="J124" s="3"/>
      <c r="K124" s="3">
        <f t="shared" si="8"/>
        <v>0</v>
      </c>
      <c r="L124" s="3"/>
      <c r="M124" s="3">
        <v>0</v>
      </c>
      <c r="N124" s="1"/>
      <c r="O124" s="3">
        <v>0</v>
      </c>
      <c r="P124" s="3"/>
      <c r="Q124" s="3">
        <v>0</v>
      </c>
      <c r="R124" s="3"/>
      <c r="S124" s="3">
        <v>0</v>
      </c>
      <c r="T124" s="3"/>
      <c r="U124" s="3">
        <v>0</v>
      </c>
      <c r="V124" s="3"/>
      <c r="W124" s="3">
        <v>0</v>
      </c>
      <c r="X124" s="27"/>
      <c r="Y124" s="3">
        <v>0</v>
      </c>
      <c r="Z124" s="3"/>
      <c r="AA124" s="3">
        <f t="shared" si="7"/>
        <v>0</v>
      </c>
      <c r="AB124" s="3"/>
      <c r="AC124" s="3">
        <v>0</v>
      </c>
      <c r="AD124" s="3"/>
      <c r="AE124" s="3">
        <f t="shared" si="9"/>
        <v>0</v>
      </c>
      <c r="AF124" s="3"/>
    </row>
    <row r="125" spans="1:32">
      <c r="A125" s="3" t="s">
        <v>339</v>
      </c>
      <c r="B125" s="13"/>
      <c r="C125" s="13" t="s">
        <v>199</v>
      </c>
      <c r="E125" s="3">
        <v>14047154</v>
      </c>
      <c r="F125" s="3"/>
      <c r="G125" s="3">
        <v>1356350</v>
      </c>
      <c r="H125" s="3"/>
      <c r="I125" s="3">
        <v>0</v>
      </c>
      <c r="J125" s="3"/>
      <c r="K125" s="3">
        <f t="shared" si="8"/>
        <v>15403504</v>
      </c>
      <c r="L125" s="3"/>
      <c r="M125" s="3">
        <v>0</v>
      </c>
      <c r="N125" s="1"/>
      <c r="O125" s="3">
        <v>939199</v>
      </c>
      <c r="P125" s="3"/>
      <c r="Q125" s="3">
        <v>56738</v>
      </c>
      <c r="R125" s="3"/>
      <c r="S125" s="3">
        <v>0</v>
      </c>
      <c r="T125" s="3"/>
      <c r="U125" s="3">
        <v>0</v>
      </c>
      <c r="V125" s="3"/>
      <c r="W125" s="3">
        <v>19720</v>
      </c>
      <c r="X125" s="27"/>
      <c r="Y125" s="3">
        <v>0</v>
      </c>
      <c r="Z125" s="3"/>
      <c r="AA125" s="3">
        <f t="shared" si="7"/>
        <v>1015657</v>
      </c>
      <c r="AB125" s="3"/>
      <c r="AC125" s="3">
        <v>0</v>
      </c>
      <c r="AD125" s="3"/>
      <c r="AE125" s="3">
        <f t="shared" si="9"/>
        <v>16419161</v>
      </c>
      <c r="AF125" s="3"/>
    </row>
    <row r="126" spans="1:32" hidden="1">
      <c r="A126" s="3" t="s">
        <v>307</v>
      </c>
      <c r="B126" s="13"/>
      <c r="C126" s="13" t="s">
        <v>200</v>
      </c>
      <c r="E126" s="3">
        <v>0</v>
      </c>
      <c r="F126" s="3"/>
      <c r="G126" s="3">
        <v>0</v>
      </c>
      <c r="H126" s="3"/>
      <c r="I126" s="3">
        <v>0</v>
      </c>
      <c r="J126" s="3"/>
      <c r="K126" s="3">
        <f t="shared" si="8"/>
        <v>0</v>
      </c>
      <c r="L126" s="3"/>
      <c r="M126" s="3">
        <v>0</v>
      </c>
      <c r="N126" s="1"/>
      <c r="O126" s="3">
        <v>0</v>
      </c>
      <c r="P126" s="3"/>
      <c r="Q126" s="3">
        <v>0</v>
      </c>
      <c r="R126" s="3"/>
      <c r="S126" s="3">
        <v>0</v>
      </c>
      <c r="T126" s="3"/>
      <c r="U126" s="3">
        <v>0</v>
      </c>
      <c r="V126" s="3"/>
      <c r="W126" s="3">
        <v>0</v>
      </c>
      <c r="X126" s="27"/>
      <c r="Y126" s="3">
        <v>0</v>
      </c>
      <c r="Z126" s="3"/>
      <c r="AA126" s="3">
        <f t="shared" si="7"/>
        <v>0</v>
      </c>
      <c r="AB126" s="3"/>
      <c r="AC126" s="3">
        <v>0</v>
      </c>
      <c r="AD126" s="3"/>
      <c r="AE126" s="3">
        <f t="shared" si="9"/>
        <v>0</v>
      </c>
      <c r="AF126" s="3"/>
    </row>
    <row r="127" spans="1:32" hidden="1">
      <c r="A127" s="3" t="s">
        <v>341</v>
      </c>
      <c r="B127" s="13"/>
      <c r="C127" s="13" t="s">
        <v>203</v>
      </c>
      <c r="E127" s="3">
        <v>0</v>
      </c>
      <c r="F127" s="3"/>
      <c r="G127" s="3">
        <v>0</v>
      </c>
      <c r="H127" s="3"/>
      <c r="I127" s="3">
        <v>0</v>
      </c>
      <c r="J127" s="3"/>
      <c r="K127" s="3">
        <f t="shared" si="8"/>
        <v>0</v>
      </c>
      <c r="L127" s="3"/>
      <c r="M127" s="3">
        <v>0</v>
      </c>
      <c r="N127" s="1"/>
      <c r="O127" s="3">
        <v>0</v>
      </c>
      <c r="P127" s="3"/>
      <c r="Q127" s="3">
        <v>0</v>
      </c>
      <c r="R127" s="3"/>
      <c r="S127" s="3">
        <v>0</v>
      </c>
      <c r="T127" s="3"/>
      <c r="U127" s="3">
        <v>0</v>
      </c>
      <c r="V127" s="3"/>
      <c r="W127" s="3">
        <v>0</v>
      </c>
      <c r="X127" s="27"/>
      <c r="Y127" s="3">
        <v>0</v>
      </c>
      <c r="Z127" s="3"/>
      <c r="AA127" s="3">
        <f t="shared" si="7"/>
        <v>0</v>
      </c>
      <c r="AB127" s="3"/>
      <c r="AC127" s="3">
        <v>0</v>
      </c>
      <c r="AD127" s="3"/>
      <c r="AE127" s="3">
        <f t="shared" si="9"/>
        <v>0</v>
      </c>
      <c r="AF127" s="3"/>
    </row>
    <row r="128" spans="1:32" hidden="1">
      <c r="A128" s="3" t="s">
        <v>308</v>
      </c>
      <c r="B128" s="13"/>
      <c r="C128" s="13" t="s">
        <v>204</v>
      </c>
      <c r="E128" s="3">
        <v>0</v>
      </c>
      <c r="F128" s="3"/>
      <c r="G128" s="3">
        <v>0</v>
      </c>
      <c r="H128" s="3"/>
      <c r="I128" s="3">
        <v>0</v>
      </c>
      <c r="J128" s="3"/>
      <c r="K128" s="3">
        <f t="shared" si="8"/>
        <v>0</v>
      </c>
      <c r="L128" s="3"/>
      <c r="M128" s="3">
        <v>0</v>
      </c>
      <c r="N128" s="1"/>
      <c r="O128" s="3">
        <v>0</v>
      </c>
      <c r="P128" s="3"/>
      <c r="Q128" s="3">
        <v>0</v>
      </c>
      <c r="R128" s="3"/>
      <c r="S128" s="3">
        <v>0</v>
      </c>
      <c r="T128" s="3"/>
      <c r="U128" s="3">
        <v>0</v>
      </c>
      <c r="V128" s="3"/>
      <c r="W128" s="3">
        <v>0</v>
      </c>
      <c r="X128" s="27"/>
      <c r="Y128" s="3">
        <v>0</v>
      </c>
      <c r="Z128" s="3"/>
      <c r="AA128" s="3">
        <f t="shared" si="7"/>
        <v>0</v>
      </c>
      <c r="AB128" s="3"/>
      <c r="AC128" s="3">
        <v>0</v>
      </c>
      <c r="AD128" s="3"/>
      <c r="AE128" s="3">
        <f t="shared" si="9"/>
        <v>0</v>
      </c>
      <c r="AF128" s="3"/>
    </row>
    <row r="129" spans="1:32">
      <c r="A129" s="3" t="s">
        <v>201</v>
      </c>
      <c r="B129" s="13"/>
      <c r="C129" s="13" t="s">
        <v>261</v>
      </c>
      <c r="E129" s="3">
        <v>2995453</v>
      </c>
      <c r="F129" s="3"/>
      <c r="G129" s="3">
        <v>1288590</v>
      </c>
      <c r="H129" s="3"/>
      <c r="I129" s="3">
        <v>0</v>
      </c>
      <c r="J129" s="3"/>
      <c r="K129" s="3">
        <f t="shared" si="8"/>
        <v>4284043</v>
      </c>
      <c r="L129" s="3"/>
      <c r="M129" s="3">
        <v>0</v>
      </c>
      <c r="N129" s="1"/>
      <c r="O129" s="3">
        <v>225872</v>
      </c>
      <c r="P129" s="3"/>
      <c r="Q129" s="3">
        <v>1289</v>
      </c>
      <c r="R129" s="3"/>
      <c r="S129" s="3">
        <v>0</v>
      </c>
      <c r="T129" s="3"/>
      <c r="U129" s="3">
        <v>0</v>
      </c>
      <c r="V129" s="3"/>
      <c r="W129" s="3">
        <v>367</v>
      </c>
      <c r="X129" s="27"/>
      <c r="Y129" s="3">
        <v>0</v>
      </c>
      <c r="Z129" s="3"/>
      <c r="AA129" s="3">
        <f t="shared" si="7"/>
        <v>227528</v>
      </c>
      <c r="AB129" s="3"/>
      <c r="AC129" s="3">
        <v>0</v>
      </c>
      <c r="AD129" s="3"/>
      <c r="AE129" s="3">
        <f t="shared" si="9"/>
        <v>4511571</v>
      </c>
      <c r="AF129" s="3"/>
    </row>
    <row r="130" spans="1:32">
      <c r="A130" s="3" t="s">
        <v>340</v>
      </c>
      <c r="B130" s="13"/>
      <c r="C130" s="13" t="s">
        <v>206</v>
      </c>
      <c r="E130" s="3">
        <v>9191961</v>
      </c>
      <c r="F130" s="3"/>
      <c r="G130" s="3">
        <v>4553226</v>
      </c>
      <c r="H130" s="3"/>
      <c r="I130" s="3">
        <v>0</v>
      </c>
      <c r="J130" s="3"/>
      <c r="K130" s="3">
        <f t="shared" si="8"/>
        <v>13745187</v>
      </c>
      <c r="L130" s="3"/>
      <c r="M130" s="3">
        <v>0</v>
      </c>
      <c r="N130" s="1"/>
      <c r="O130" s="3">
        <v>447702</v>
      </c>
      <c r="P130" s="3"/>
      <c r="Q130" s="3">
        <v>34058</v>
      </c>
      <c r="R130" s="3"/>
      <c r="S130" s="3">
        <v>0</v>
      </c>
      <c r="T130" s="3"/>
      <c r="U130" s="3">
        <v>3400</v>
      </c>
      <c r="V130" s="3"/>
      <c r="W130" s="3">
        <v>75138</v>
      </c>
      <c r="X130" s="27"/>
      <c r="Y130" s="3">
        <v>0</v>
      </c>
      <c r="Z130" s="3"/>
      <c r="AA130" s="3">
        <f t="shared" si="7"/>
        <v>560298</v>
      </c>
      <c r="AB130" s="3"/>
      <c r="AC130" s="3">
        <v>0</v>
      </c>
      <c r="AD130" s="3"/>
      <c r="AE130" s="3">
        <f t="shared" si="9"/>
        <v>14305485</v>
      </c>
      <c r="AF130" s="3"/>
    </row>
    <row r="131" spans="1:32">
      <c r="A131" s="3"/>
    </row>
    <row r="132" spans="1:32">
      <c r="E132" s="3"/>
    </row>
    <row r="134" spans="1:32">
      <c r="E134" s="3"/>
    </row>
    <row r="135" spans="1:32">
      <c r="E135" s="3"/>
    </row>
    <row r="136" spans="1:32">
      <c r="E136" s="3"/>
    </row>
    <row r="137" spans="1:32">
      <c r="E137" s="3"/>
    </row>
    <row r="138" spans="1:32">
      <c r="E138" s="3"/>
    </row>
    <row r="139" spans="1:32">
      <c r="E139" s="3"/>
    </row>
  </sheetData>
  <mergeCells count="2">
    <mergeCell ref="M6:W6"/>
    <mergeCell ref="E6:I6"/>
  </mergeCells>
  <phoneticPr fontId="3" type="noConversion"/>
  <pageMargins left="0.9" right="0.75" top="0.5" bottom="0.5" header="0.25" footer="0.25"/>
  <pageSetup scale="80" firstPageNumber="10" pageOrder="overThenDown" orientation="portrait" useFirstPageNumber="1" r:id="rId1"/>
  <headerFooter scaleWithDoc="0" alignWithMargins="0"/>
  <rowBreaks count="1" manualBreakCount="1">
    <brk id="66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06"/>
  <sheetViews>
    <sheetView view="pageBreakPreview" zoomScaleNormal="100" zoomScaleSheetLayoutView="100" workbookViewId="0">
      <pane xSplit="4" ySplit="10" topLeftCell="E11" activePane="bottomRight" state="frozen"/>
      <selection activeCell="M146" sqref="M146"/>
      <selection pane="topRight" activeCell="M146" sqref="M146"/>
      <selection pane="bottomLeft" activeCell="M146" sqref="M146"/>
      <selection pane="bottomRight" activeCell="E7" sqref="E7:K7"/>
    </sheetView>
  </sheetViews>
  <sheetFormatPr defaultRowHeight="12"/>
  <cols>
    <col min="1" max="1" width="40.7109375" style="24" customWidth="1"/>
    <col min="2" max="2" width="1.7109375" style="24" customWidth="1"/>
    <col min="3" max="3" width="11.7109375" style="24" customWidth="1"/>
    <col min="4" max="4" width="1.28515625" style="24" customWidth="1"/>
    <col min="5" max="5" width="11.7109375" style="24" customWidth="1"/>
    <col min="6" max="6" width="1.28515625" style="24" customWidth="1"/>
    <col min="7" max="7" width="11.7109375" style="24" customWidth="1"/>
    <col min="8" max="8" width="1.28515625" style="24" customWidth="1"/>
    <col min="9" max="9" width="11.7109375" style="24" customWidth="1"/>
    <col min="10" max="10" width="1.28515625" style="24" customWidth="1"/>
    <col min="11" max="11" width="12.7109375" style="51" customWidth="1"/>
    <col min="12" max="12" width="1.28515625" style="24" customWidth="1"/>
    <col min="13" max="13" width="11.7109375" style="24" customWidth="1"/>
    <col min="14" max="14" width="1.140625" style="24" customWidth="1"/>
    <col min="15" max="15" width="11.7109375" style="24" customWidth="1"/>
    <col min="16" max="16" width="1.140625" style="24" customWidth="1"/>
    <col min="17" max="17" width="11.7109375" style="24" customWidth="1"/>
    <col min="18" max="18" width="1.140625" style="24" customWidth="1"/>
    <col min="19" max="19" width="11.7109375" style="24" customWidth="1"/>
    <col min="20" max="20" width="1.140625" style="24" customWidth="1"/>
    <col min="21" max="21" width="11.7109375" style="24" customWidth="1"/>
    <col min="22" max="22" width="1.140625" style="24" customWidth="1"/>
    <col min="23" max="23" width="11.7109375" style="24" customWidth="1"/>
    <col min="24" max="24" width="1.140625" style="24" customWidth="1"/>
    <col min="25" max="25" width="11.7109375" style="24" customWidth="1"/>
    <col min="26" max="26" width="1.140625" style="24" customWidth="1"/>
    <col min="27" max="27" width="12.140625" style="24" customWidth="1"/>
    <col min="28" max="28" width="1.140625" style="24" customWidth="1"/>
    <col min="29" max="29" width="40.7109375" style="24" customWidth="1"/>
    <col min="30" max="30" width="1.7109375" style="24" customWidth="1"/>
    <col min="31" max="31" width="11.7109375" style="24" customWidth="1"/>
    <col min="32" max="32" width="1.28515625" style="24" customWidth="1"/>
    <col min="33" max="33" width="11.7109375" style="24" customWidth="1"/>
    <col min="34" max="34" width="1.28515625" style="24" customWidth="1"/>
    <col min="35" max="35" width="11.7109375" style="24" customWidth="1"/>
    <col min="36" max="36" width="1.28515625" style="24" hidden="1" customWidth="1"/>
    <col min="37" max="37" width="9.7109375" style="24" hidden="1" customWidth="1"/>
    <col min="38" max="38" width="1.28515625" style="24" customWidth="1"/>
    <col min="39" max="39" width="12.7109375" style="24" customWidth="1"/>
    <col min="40" max="40" width="1.28515625" style="24" customWidth="1"/>
    <col min="41" max="41" width="10.7109375" style="24" customWidth="1"/>
    <col min="42" max="42" width="1.28515625" style="24" customWidth="1"/>
    <col min="43" max="43" width="10.7109375" style="24" customWidth="1"/>
    <col min="44" max="44" width="1.28515625" style="24" customWidth="1"/>
    <col min="45" max="45" width="10.7109375" style="24" customWidth="1"/>
    <col min="46" max="46" width="1.28515625" style="24" customWidth="1"/>
    <col min="47" max="47" width="11.7109375" style="24" customWidth="1"/>
    <col min="48" max="48" width="1.7109375" style="24" hidden="1" customWidth="1"/>
    <col min="49" max="49" width="11.7109375" style="24" hidden="1" customWidth="1"/>
    <col min="50" max="50" width="1.28515625" style="24" customWidth="1"/>
    <col min="51" max="51" width="9.7109375" style="24" customWidth="1"/>
    <col min="52" max="52" width="1.28515625" style="24" customWidth="1"/>
    <col min="53" max="53" width="10.7109375" style="27" customWidth="1"/>
    <col min="54" max="54" width="1.28515625" style="27" customWidth="1"/>
    <col min="55" max="55" width="10.7109375" style="27" customWidth="1"/>
    <col min="56" max="56" width="1.28515625" style="27" customWidth="1"/>
    <col min="57" max="57" width="11.7109375" style="27" customWidth="1"/>
    <col min="58" max="58" width="1.28515625" style="27" customWidth="1"/>
    <col min="59" max="59" width="10.7109375" style="27" customWidth="1"/>
    <col min="60" max="60" width="1.7109375" style="27" hidden="1" customWidth="1"/>
    <col min="61" max="61" width="11.7109375" style="27" hidden="1" customWidth="1"/>
    <col min="62" max="16384" width="9.140625" style="24"/>
  </cols>
  <sheetData>
    <row r="1" spans="1:61">
      <c r="A1" s="16" t="s">
        <v>269</v>
      </c>
      <c r="K1" s="23"/>
      <c r="AC1" s="16" t="s">
        <v>269</v>
      </c>
    </row>
    <row r="2" spans="1:61" s="13" customFormat="1">
      <c r="A2" s="16" t="s">
        <v>351</v>
      </c>
      <c r="B2" s="16"/>
      <c r="C2" s="16"/>
      <c r="D2" s="3"/>
      <c r="E2" s="3"/>
      <c r="F2" s="3"/>
      <c r="G2" s="3"/>
      <c r="H2" s="3"/>
      <c r="I2" s="3"/>
      <c r="J2" s="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6" t="s">
        <v>351</v>
      </c>
      <c r="AD2" s="16"/>
      <c r="AE2" s="16"/>
      <c r="AF2" s="16"/>
      <c r="AG2" s="3"/>
      <c r="AH2" s="3"/>
      <c r="AI2" s="3"/>
      <c r="AJ2" s="3"/>
      <c r="AK2" s="3"/>
      <c r="AL2" s="16"/>
      <c r="AM2" s="16"/>
      <c r="AN2" s="3"/>
      <c r="AO2" s="3"/>
      <c r="AP2" s="3"/>
      <c r="AQ2" s="3"/>
      <c r="AR2" s="3"/>
      <c r="AS2" s="3"/>
      <c r="AT2" s="3"/>
      <c r="AU2" s="3"/>
      <c r="AV2" s="3"/>
      <c r="AW2" s="39" t="s">
        <v>53</v>
      </c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s="13" customFormat="1">
      <c r="A3" s="42"/>
      <c r="D3" s="3"/>
      <c r="E3" s="3"/>
      <c r="F3" s="3"/>
      <c r="G3" s="3"/>
      <c r="H3" s="3"/>
      <c r="I3" s="3"/>
      <c r="J3" s="3"/>
      <c r="K3" s="23"/>
      <c r="L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2"/>
      <c r="AG3" s="3"/>
      <c r="AH3" s="3"/>
      <c r="AI3" s="3"/>
      <c r="AJ3" s="3"/>
      <c r="AK3" s="3"/>
      <c r="AN3" s="3"/>
      <c r="AO3" s="3"/>
      <c r="AP3" s="3"/>
      <c r="AQ3" s="3"/>
      <c r="AR3" s="3"/>
      <c r="AS3" s="3"/>
      <c r="AT3" s="3"/>
      <c r="AU3" s="3"/>
      <c r="AV3" s="3"/>
      <c r="AW3" s="39" t="s">
        <v>54</v>
      </c>
      <c r="AX3" s="3"/>
      <c r="AY3" s="3"/>
      <c r="AZ3" s="3"/>
      <c r="BA3" s="3"/>
      <c r="BB3" s="3"/>
      <c r="BC3" s="3"/>
      <c r="BD3" s="3"/>
      <c r="BE3" s="3"/>
      <c r="BF3" s="3"/>
      <c r="BG3" s="3"/>
      <c r="BH3" s="48"/>
      <c r="BI3" s="3"/>
    </row>
    <row r="4" spans="1:61" s="13" customFormat="1" ht="12.75" customHeight="1">
      <c r="A4" s="6" t="s">
        <v>260</v>
      </c>
      <c r="B4" s="16"/>
      <c r="C4" s="16"/>
      <c r="D4" s="3"/>
      <c r="E4" s="3"/>
      <c r="F4" s="3"/>
      <c r="G4" s="3"/>
      <c r="H4" s="3"/>
      <c r="I4" s="3"/>
      <c r="J4" s="3"/>
      <c r="K4" s="2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6" t="s">
        <v>258</v>
      </c>
      <c r="AD4" s="16"/>
      <c r="AE4" s="16"/>
      <c r="AF4" s="16"/>
      <c r="AG4" s="3"/>
      <c r="AH4" s="3"/>
      <c r="AI4" s="3"/>
      <c r="AJ4" s="3"/>
      <c r="AK4" s="3"/>
      <c r="AL4" s="16"/>
      <c r="AM4" s="16"/>
      <c r="AN4" s="3"/>
      <c r="AO4" s="3"/>
      <c r="AP4" s="3"/>
      <c r="AQ4" s="3"/>
      <c r="AR4" s="3"/>
      <c r="AS4" s="3"/>
      <c r="AT4" s="3"/>
      <c r="AU4" s="3"/>
      <c r="AV4" s="3"/>
      <c r="AW4" s="39" t="s">
        <v>55</v>
      </c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s="13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2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6"/>
      <c r="AD5" s="16"/>
      <c r="AE5" s="16"/>
      <c r="AF5" s="16"/>
      <c r="AG5" s="3"/>
      <c r="AH5" s="3"/>
      <c r="AI5" s="3"/>
      <c r="AJ5" s="3"/>
      <c r="AK5" s="3"/>
      <c r="AL5" s="16"/>
      <c r="AM5" s="16"/>
      <c r="AN5" s="3"/>
      <c r="AO5" s="3"/>
      <c r="AP5" s="3"/>
      <c r="AQ5" s="3"/>
      <c r="AR5" s="3"/>
      <c r="AS5" s="3"/>
      <c r="AT5" s="3"/>
      <c r="AU5" s="3"/>
      <c r="AV5" s="3"/>
      <c r="AW5" s="39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s="6" customFormat="1">
      <c r="A6" s="26" t="s">
        <v>316</v>
      </c>
      <c r="B6" s="5"/>
      <c r="C6" s="5"/>
      <c r="D6" s="58"/>
      <c r="E6" s="58"/>
      <c r="F6" s="58"/>
      <c r="G6" s="58"/>
      <c r="H6" s="58"/>
      <c r="I6" s="58"/>
      <c r="J6" s="58"/>
      <c r="K6" s="38"/>
      <c r="L6" s="28"/>
      <c r="M6" s="10" t="s">
        <v>56</v>
      </c>
      <c r="N6" s="58"/>
      <c r="O6" s="58"/>
      <c r="P6" s="58"/>
      <c r="Q6" s="58"/>
      <c r="R6" s="58"/>
      <c r="S6" s="58"/>
      <c r="T6" s="58"/>
      <c r="U6" s="58"/>
      <c r="AB6" s="33"/>
      <c r="AC6" s="26" t="s">
        <v>316</v>
      </c>
      <c r="AD6" s="5"/>
      <c r="AE6" s="5"/>
      <c r="AF6" s="5"/>
    </row>
    <row r="7" spans="1:61" s="13" customFormat="1">
      <c r="A7" s="49"/>
      <c r="B7" s="16"/>
      <c r="C7" s="16"/>
      <c r="D7" s="3"/>
      <c r="E7" s="70" t="s">
        <v>56</v>
      </c>
      <c r="F7" s="70"/>
      <c r="G7" s="70"/>
      <c r="H7" s="70"/>
      <c r="I7" s="70"/>
      <c r="J7" s="70"/>
      <c r="K7" s="70"/>
      <c r="L7" s="38"/>
      <c r="M7" s="34" t="s">
        <v>344</v>
      </c>
      <c r="N7" s="3"/>
      <c r="O7" s="70" t="s">
        <v>57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5"/>
      <c r="AC7" s="49"/>
      <c r="AD7" s="2"/>
      <c r="AE7" s="2"/>
      <c r="AF7" s="2"/>
      <c r="AG7" s="34" t="s">
        <v>345</v>
      </c>
      <c r="AH7" s="34"/>
      <c r="AI7" s="34"/>
      <c r="AJ7" s="34"/>
      <c r="AK7" s="34"/>
      <c r="AL7" s="3"/>
      <c r="AM7" s="70" t="s">
        <v>283</v>
      </c>
      <c r="AN7" s="70"/>
      <c r="AO7" s="70"/>
      <c r="AP7" s="3"/>
      <c r="AQ7" s="3"/>
      <c r="AR7" s="3"/>
      <c r="AS7" s="3"/>
      <c r="AT7" s="3"/>
      <c r="AU7" s="3"/>
      <c r="AV7" s="3"/>
      <c r="AW7" s="10" t="s">
        <v>6</v>
      </c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10" t="s">
        <v>3</v>
      </c>
    </row>
    <row r="8" spans="1:61" s="18" customFormat="1">
      <c r="A8" s="26"/>
      <c r="B8" s="23"/>
      <c r="C8" s="23"/>
      <c r="D8" s="23"/>
      <c r="E8" s="23"/>
      <c r="F8" s="23"/>
      <c r="G8" s="23"/>
      <c r="H8" s="23"/>
      <c r="I8" s="23"/>
      <c r="J8" s="23"/>
      <c r="K8" s="2"/>
      <c r="L8" s="19"/>
      <c r="Q8" s="10"/>
      <c r="R8" s="10"/>
      <c r="S8" s="10"/>
      <c r="T8" s="10"/>
      <c r="U8" s="10"/>
      <c r="V8" s="10"/>
      <c r="W8" s="10"/>
      <c r="X8" s="10"/>
      <c r="Y8" s="10"/>
      <c r="Z8" s="10"/>
      <c r="AA8" s="10" t="s">
        <v>58</v>
      </c>
      <c r="AB8" s="2"/>
      <c r="AC8" s="26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 t="s">
        <v>59</v>
      </c>
      <c r="AX8" s="10"/>
      <c r="AY8" s="10"/>
      <c r="AZ8" s="10"/>
      <c r="BA8" s="10"/>
      <c r="BB8" s="10"/>
      <c r="BD8" s="10"/>
      <c r="BE8" s="10" t="s">
        <v>3</v>
      </c>
      <c r="BF8" s="10"/>
      <c r="BG8" s="10" t="s">
        <v>3</v>
      </c>
      <c r="BH8" s="10"/>
      <c r="BI8" s="10" t="s">
        <v>60</v>
      </c>
    </row>
    <row r="9" spans="1:61" s="18" customFormat="1">
      <c r="B9" s="8"/>
      <c r="C9" s="8"/>
      <c r="D9" s="10"/>
      <c r="E9" s="2"/>
      <c r="F9" s="2"/>
      <c r="G9" s="2"/>
      <c r="H9" s="2"/>
      <c r="I9" s="2"/>
      <c r="J9" s="2"/>
      <c r="K9" s="18" t="s">
        <v>354</v>
      </c>
      <c r="L9" s="2"/>
      <c r="M9" s="2"/>
      <c r="N9" s="2"/>
      <c r="O9" s="2"/>
      <c r="P9" s="2"/>
      <c r="Q9" s="2" t="s">
        <v>61</v>
      </c>
      <c r="R9" s="2"/>
      <c r="S9" s="2" t="s">
        <v>62</v>
      </c>
      <c r="T9" s="2"/>
      <c r="U9" s="2"/>
      <c r="V9" s="2"/>
      <c r="W9" s="2"/>
      <c r="X9" s="2"/>
      <c r="Y9" s="2"/>
      <c r="Z9" s="2"/>
      <c r="AA9" s="2" t="s">
        <v>63</v>
      </c>
      <c r="AB9" s="2"/>
      <c r="AD9" s="2"/>
      <c r="AE9" s="2"/>
      <c r="AF9" s="2"/>
      <c r="AG9" s="2" t="s">
        <v>64</v>
      </c>
      <c r="AH9" s="2"/>
      <c r="AI9" s="2"/>
      <c r="AJ9" s="2"/>
      <c r="AK9" s="2"/>
      <c r="AL9" s="2"/>
      <c r="AM9" s="10" t="s">
        <v>65</v>
      </c>
      <c r="AN9" s="10"/>
      <c r="AQ9" s="18" t="s">
        <v>66</v>
      </c>
      <c r="AU9" s="18" t="s">
        <v>67</v>
      </c>
      <c r="AW9" s="18" t="s">
        <v>68</v>
      </c>
      <c r="AY9" s="18" t="s">
        <v>69</v>
      </c>
      <c r="BA9" s="2" t="s">
        <v>8</v>
      </c>
      <c r="BB9" s="10"/>
      <c r="BC9" s="10" t="s">
        <v>117</v>
      </c>
      <c r="BD9" s="10"/>
      <c r="BE9" s="2" t="s">
        <v>70</v>
      </c>
      <c r="BF9" s="10"/>
      <c r="BG9" s="10" t="s">
        <v>71</v>
      </c>
      <c r="BH9" s="10"/>
      <c r="BI9" s="10" t="s">
        <v>72</v>
      </c>
    </row>
    <row r="10" spans="1:61" s="18" customFormat="1">
      <c r="A10" s="44" t="s">
        <v>282</v>
      </c>
      <c r="C10" s="44" t="s">
        <v>12</v>
      </c>
      <c r="D10" s="10"/>
      <c r="E10" s="9" t="s">
        <v>348</v>
      </c>
      <c r="F10" s="10"/>
      <c r="G10" s="9" t="s">
        <v>73</v>
      </c>
      <c r="H10" s="10"/>
      <c r="I10" s="9" t="s">
        <v>74</v>
      </c>
      <c r="J10" s="2"/>
      <c r="K10" s="9" t="s">
        <v>353</v>
      </c>
      <c r="L10" s="2"/>
      <c r="M10" s="9" t="s">
        <v>84</v>
      </c>
      <c r="N10" s="10"/>
      <c r="O10" s="9" t="s">
        <v>347</v>
      </c>
      <c r="P10" s="10"/>
      <c r="Q10" s="9" t="s">
        <v>75</v>
      </c>
      <c r="R10" s="10"/>
      <c r="S10" s="9" t="s">
        <v>76</v>
      </c>
      <c r="T10" s="10"/>
      <c r="U10" s="9" t="s">
        <v>77</v>
      </c>
      <c r="V10" s="10"/>
      <c r="W10" s="9" t="s">
        <v>78</v>
      </c>
      <c r="X10" s="2"/>
      <c r="Y10" s="57" t="s">
        <v>79</v>
      </c>
      <c r="Z10" s="10"/>
      <c r="AA10" s="9" t="s">
        <v>80</v>
      </c>
      <c r="AB10" s="2"/>
      <c r="AC10" s="44" t="s">
        <v>282</v>
      </c>
      <c r="AE10" s="44" t="s">
        <v>12</v>
      </c>
      <c r="AF10" s="19"/>
      <c r="AG10" s="57" t="s">
        <v>81</v>
      </c>
      <c r="AH10" s="2"/>
      <c r="AI10" s="57" t="s">
        <v>82</v>
      </c>
      <c r="AJ10" s="10"/>
      <c r="AK10" s="57" t="s">
        <v>84</v>
      </c>
      <c r="AL10" s="10"/>
      <c r="AM10" s="57" t="s">
        <v>83</v>
      </c>
      <c r="AN10" s="10"/>
      <c r="AO10" s="44" t="s">
        <v>84</v>
      </c>
      <c r="AP10" s="19"/>
      <c r="AQ10" s="44" t="s">
        <v>50</v>
      </c>
      <c r="AR10" s="19"/>
      <c r="AS10" s="44" t="s">
        <v>85</v>
      </c>
      <c r="AT10" s="19"/>
      <c r="AU10" s="44" t="s">
        <v>86</v>
      </c>
      <c r="AV10" s="19"/>
      <c r="AW10" s="44" t="s">
        <v>87</v>
      </c>
      <c r="AX10" s="19"/>
      <c r="AY10" s="44" t="s">
        <v>88</v>
      </c>
      <c r="AZ10" s="19"/>
      <c r="BA10" s="44" t="s">
        <v>88</v>
      </c>
      <c r="BB10" s="2"/>
      <c r="BC10" s="57" t="s">
        <v>3</v>
      </c>
      <c r="BD10" s="10"/>
      <c r="BE10" s="57" t="s">
        <v>89</v>
      </c>
      <c r="BF10" s="10"/>
      <c r="BG10" s="57" t="s">
        <v>90</v>
      </c>
      <c r="BH10" s="10"/>
      <c r="BI10" s="57" t="s">
        <v>20</v>
      </c>
    </row>
    <row r="11" spans="1:61">
      <c r="K11" s="50"/>
      <c r="L11" s="25"/>
      <c r="AB11" s="25"/>
      <c r="BC11" s="3"/>
    </row>
    <row r="12" spans="1:61">
      <c r="A12" s="29" t="s">
        <v>255</v>
      </c>
      <c r="K12" s="23"/>
      <c r="AC12" s="29" t="s">
        <v>255</v>
      </c>
    </row>
    <row r="13" spans="1:61">
      <c r="A13" s="29"/>
      <c r="K13" s="23"/>
      <c r="AC13" s="29"/>
    </row>
    <row r="14" spans="1:61">
      <c r="A14" s="3" t="s">
        <v>288</v>
      </c>
      <c r="B14" s="3"/>
      <c r="C14" s="3" t="s">
        <v>263</v>
      </c>
      <c r="E14" s="17">
        <v>398309</v>
      </c>
      <c r="F14" s="17"/>
      <c r="G14" s="17">
        <v>268844</v>
      </c>
      <c r="H14" s="17"/>
      <c r="I14" s="17">
        <v>5591479</v>
      </c>
      <c r="J14" s="17"/>
      <c r="K14" s="50">
        <v>49245</v>
      </c>
      <c r="L14" s="17"/>
      <c r="M14" s="17">
        <v>0</v>
      </c>
      <c r="N14" s="17"/>
      <c r="O14" s="17">
        <v>511062</v>
      </c>
      <c r="P14" s="17"/>
      <c r="Q14" s="17">
        <v>707123</v>
      </c>
      <c r="R14" s="17"/>
      <c r="S14" s="17">
        <v>51773</v>
      </c>
      <c r="T14" s="17"/>
      <c r="U14" s="17">
        <v>765142</v>
      </c>
      <c r="V14" s="17"/>
      <c r="W14" s="17">
        <v>455289</v>
      </c>
      <c r="X14" s="17"/>
      <c r="Y14" s="17">
        <v>0</v>
      </c>
      <c r="Z14" s="17"/>
      <c r="AA14" s="17">
        <v>1246531</v>
      </c>
      <c r="AB14" s="17"/>
      <c r="AC14" s="3" t="s">
        <v>288</v>
      </c>
      <c r="AD14" s="3"/>
      <c r="AE14" s="3" t="s">
        <v>263</v>
      </c>
      <c r="AF14" s="3"/>
      <c r="AG14" s="17">
        <v>23272</v>
      </c>
      <c r="AH14" s="17"/>
      <c r="AI14" s="17">
        <v>440575</v>
      </c>
      <c r="AJ14" s="17"/>
      <c r="AK14" s="17"/>
      <c r="AL14" s="62"/>
      <c r="AM14" s="17">
        <v>0</v>
      </c>
      <c r="AN14" s="17"/>
      <c r="AO14" s="17">
        <v>312986</v>
      </c>
      <c r="AP14" s="17"/>
      <c r="AQ14" s="17">
        <v>32883</v>
      </c>
      <c r="AR14" s="17"/>
      <c r="AS14" s="17">
        <v>0</v>
      </c>
      <c r="AT14" s="17"/>
      <c r="AU14" s="17">
        <v>122588</v>
      </c>
      <c r="AV14" s="17"/>
      <c r="AW14" s="17"/>
      <c r="AX14" s="17"/>
      <c r="AY14" s="17">
        <v>0</v>
      </c>
      <c r="AZ14" s="17"/>
      <c r="BA14" s="17">
        <f>SUM(E14:AZ14)</f>
        <v>10977101</v>
      </c>
      <c r="BB14" s="17"/>
      <c r="BC14" s="17">
        <f>+'St of Act-Rev'!AE14-BA14</f>
        <v>851871</v>
      </c>
      <c r="BD14" s="17"/>
      <c r="BE14" s="17">
        <v>9630620</v>
      </c>
      <c r="BF14" s="17"/>
      <c r="BG14" s="17">
        <f>+BC14+BE14</f>
        <v>10482491</v>
      </c>
      <c r="BI14" s="3">
        <f>+'St of Net Assets'!Y14-BG14</f>
        <v>0</v>
      </c>
    </row>
    <row r="15" spans="1:61">
      <c r="A15" s="3" t="s">
        <v>241</v>
      </c>
      <c r="B15" s="13"/>
      <c r="C15" s="13" t="s">
        <v>145</v>
      </c>
      <c r="E15" s="3">
        <v>556544</v>
      </c>
      <c r="F15" s="3"/>
      <c r="G15" s="3">
        <v>361313</v>
      </c>
      <c r="H15" s="3"/>
      <c r="I15" s="3">
        <v>2925476</v>
      </c>
      <c r="J15" s="3"/>
      <c r="K15" s="23">
        <v>1332639</v>
      </c>
      <c r="L15" s="3"/>
      <c r="M15" s="3">
        <v>3418</v>
      </c>
      <c r="N15" s="3"/>
      <c r="O15" s="3">
        <v>178729</v>
      </c>
      <c r="P15" s="3"/>
      <c r="Q15" s="3">
        <v>152775</v>
      </c>
      <c r="R15" s="3"/>
      <c r="S15" s="3">
        <v>72567</v>
      </c>
      <c r="T15" s="3"/>
      <c r="U15" s="3">
        <v>784619</v>
      </c>
      <c r="V15" s="3"/>
      <c r="W15" s="3">
        <v>423245</v>
      </c>
      <c r="X15" s="3"/>
      <c r="Y15" s="3">
        <v>4894</v>
      </c>
      <c r="Z15" s="3"/>
      <c r="AA15" s="3">
        <v>564468</v>
      </c>
      <c r="AB15" s="17"/>
      <c r="AC15" s="3" t="s">
        <v>241</v>
      </c>
      <c r="AD15" s="3"/>
      <c r="AE15" s="3" t="s">
        <v>145</v>
      </c>
      <c r="AF15" s="3"/>
      <c r="AG15" s="3">
        <v>15197</v>
      </c>
      <c r="AH15" s="3"/>
      <c r="AI15" s="3">
        <v>21399</v>
      </c>
      <c r="AJ15" s="3"/>
      <c r="AK15" s="3"/>
      <c r="AL15" s="27"/>
      <c r="AM15" s="3">
        <v>165722</v>
      </c>
      <c r="AN15" s="3"/>
      <c r="AO15" s="3">
        <v>2969</v>
      </c>
      <c r="AP15" s="3"/>
      <c r="AQ15" s="3">
        <v>25431</v>
      </c>
      <c r="AR15" s="3"/>
      <c r="AS15" s="3">
        <v>38397</v>
      </c>
      <c r="AT15" s="3"/>
      <c r="AU15" s="3">
        <v>0</v>
      </c>
      <c r="AV15" s="3"/>
      <c r="AW15" s="3"/>
      <c r="AX15" s="3"/>
      <c r="AY15" s="3">
        <v>0</v>
      </c>
      <c r="AZ15" s="3"/>
      <c r="BA15" s="3">
        <f t="shared" ref="BA15:BA64" si="0">SUM(E15:AZ15)</f>
        <v>7629802</v>
      </c>
      <c r="BB15" s="3"/>
      <c r="BC15" s="3">
        <f>+'St of Act-Rev'!AE15-BA15</f>
        <v>-458946</v>
      </c>
      <c r="BD15" s="3"/>
      <c r="BE15" s="3">
        <v>10634927</v>
      </c>
      <c r="BF15" s="3"/>
      <c r="BG15" s="3">
        <f>+BC15+BE15</f>
        <v>10175981</v>
      </c>
      <c r="BI15" s="3">
        <f>+'St of Net Assets'!Y15-BG15</f>
        <v>0</v>
      </c>
    </row>
    <row r="16" spans="1:61">
      <c r="A16" s="3" t="s">
        <v>356</v>
      </c>
      <c r="B16" s="13"/>
      <c r="C16" s="13" t="s">
        <v>146</v>
      </c>
      <c r="E16" s="3">
        <v>893859</v>
      </c>
      <c r="F16" s="3"/>
      <c r="G16" s="3">
        <v>499295</v>
      </c>
      <c r="H16" s="3"/>
      <c r="I16" s="3">
        <v>5893388</v>
      </c>
      <c r="J16" s="3"/>
      <c r="K16" s="23">
        <v>2365333</v>
      </c>
      <c r="L16" s="3"/>
      <c r="M16" s="3">
        <v>270933</v>
      </c>
      <c r="N16" s="3"/>
      <c r="O16" s="3">
        <v>560919</v>
      </c>
      <c r="P16" s="3"/>
      <c r="Q16" s="3">
        <v>1532062</v>
      </c>
      <c r="R16" s="3"/>
      <c r="S16" s="3">
        <v>51239</v>
      </c>
      <c r="T16" s="3"/>
      <c r="U16" s="3">
        <v>1081277</v>
      </c>
      <c r="V16" s="3"/>
      <c r="W16" s="3">
        <v>410839</v>
      </c>
      <c r="X16" s="3"/>
      <c r="Y16" s="3">
        <v>82757</v>
      </c>
      <c r="Z16" s="3"/>
      <c r="AA16" s="3">
        <v>1009652</v>
      </c>
      <c r="AB16" s="3"/>
      <c r="AC16" s="3" t="s">
        <v>356</v>
      </c>
      <c r="AD16" s="13"/>
      <c r="AE16" s="13" t="s">
        <v>146</v>
      </c>
      <c r="AF16" s="13"/>
      <c r="AG16" s="3">
        <v>27277</v>
      </c>
      <c r="AH16" s="3"/>
      <c r="AI16" s="3">
        <v>26492</v>
      </c>
      <c r="AJ16" s="3"/>
      <c r="AK16" s="3"/>
      <c r="AL16" s="3"/>
      <c r="AM16" s="3">
        <v>266972</v>
      </c>
      <c r="AN16" s="3"/>
      <c r="AO16" s="3">
        <v>6733</v>
      </c>
      <c r="AP16" s="3"/>
      <c r="AQ16" s="3">
        <v>18620</v>
      </c>
      <c r="AR16" s="3"/>
      <c r="AS16" s="3">
        <v>0</v>
      </c>
      <c r="AT16" s="3"/>
      <c r="AU16" s="3">
        <v>0</v>
      </c>
      <c r="AV16" s="3"/>
      <c r="AW16" s="3"/>
      <c r="AX16" s="3"/>
      <c r="AY16" s="3">
        <v>0</v>
      </c>
      <c r="AZ16" s="3"/>
      <c r="BA16" s="3">
        <f t="shared" si="0"/>
        <v>14997647</v>
      </c>
      <c r="BB16" s="3"/>
      <c r="BC16" s="3">
        <f>+'St of Act-Rev'!AE16-BA16</f>
        <v>-5318</v>
      </c>
      <c r="BD16" s="3"/>
      <c r="BE16" s="3">
        <v>15767190</v>
      </c>
      <c r="BF16" s="3"/>
      <c r="BG16" s="3">
        <f t="shared" ref="BG16:BG64" si="1">+BC16+BE16</f>
        <v>15761872</v>
      </c>
      <c r="BI16" s="3">
        <f>+'St of Net Assets'!Y16-BG16</f>
        <v>0</v>
      </c>
    </row>
    <row r="17" spans="1:61">
      <c r="A17" s="3" t="s">
        <v>294</v>
      </c>
      <c r="B17" s="13"/>
      <c r="C17" s="13" t="s">
        <v>148</v>
      </c>
      <c r="E17" s="3">
        <v>0</v>
      </c>
      <c r="F17" s="3"/>
      <c r="G17" s="3">
        <v>550676</v>
      </c>
      <c r="H17" s="3"/>
      <c r="I17" s="3">
        <v>4240918</v>
      </c>
      <c r="J17" s="3"/>
      <c r="K17" s="23">
        <v>871347</v>
      </c>
      <c r="L17" s="3"/>
      <c r="M17" s="3">
        <v>0</v>
      </c>
      <c r="N17" s="3"/>
      <c r="O17" s="3">
        <v>1060267</v>
      </c>
      <c r="P17" s="3"/>
      <c r="Q17" s="3">
        <v>269366</v>
      </c>
      <c r="R17" s="3"/>
      <c r="S17" s="3">
        <v>151720</v>
      </c>
      <c r="T17" s="3"/>
      <c r="U17" s="3">
        <v>1523239</v>
      </c>
      <c r="V17" s="3"/>
      <c r="W17" s="3">
        <v>468331</v>
      </c>
      <c r="X17" s="3"/>
      <c r="Y17" s="3">
        <v>525</v>
      </c>
      <c r="Z17" s="3"/>
      <c r="AA17" s="3">
        <v>1476357</v>
      </c>
      <c r="AB17" s="3"/>
      <c r="AC17" s="3" t="s">
        <v>294</v>
      </c>
      <c r="AD17" s="13"/>
      <c r="AE17" s="13" t="s">
        <v>148</v>
      </c>
      <c r="AF17" s="13"/>
      <c r="AG17" s="3">
        <v>12913</v>
      </c>
      <c r="AH17" s="3"/>
      <c r="AI17" s="3">
        <v>490893</v>
      </c>
      <c r="AJ17" s="3"/>
      <c r="AK17" s="3"/>
      <c r="AL17" s="3"/>
      <c r="AM17" s="3">
        <v>0</v>
      </c>
      <c r="AN17" s="3"/>
      <c r="AO17" s="3">
        <v>250681</v>
      </c>
      <c r="AP17" s="3"/>
      <c r="AQ17" s="3">
        <v>498</v>
      </c>
      <c r="AR17" s="3"/>
      <c r="AS17" s="3">
        <v>95279</v>
      </c>
      <c r="AT17" s="3"/>
      <c r="AU17" s="3">
        <v>0</v>
      </c>
      <c r="AV17" s="3"/>
      <c r="AW17" s="3"/>
      <c r="AX17" s="3"/>
      <c r="AY17" s="3">
        <v>0</v>
      </c>
      <c r="AZ17" s="3"/>
      <c r="BA17" s="3">
        <f t="shared" si="0"/>
        <v>11463010</v>
      </c>
      <c r="BB17" s="3"/>
      <c r="BC17" s="3">
        <f>+'St of Act-Rev'!AE17-BA17</f>
        <v>-46604</v>
      </c>
      <c r="BD17" s="3"/>
      <c r="BE17" s="3">
        <v>18735905</v>
      </c>
      <c r="BF17" s="3"/>
      <c r="BG17" s="3">
        <f t="shared" si="1"/>
        <v>18689301</v>
      </c>
      <c r="BI17" s="3">
        <f>+'St of Net Assets'!Y17-BG17</f>
        <v>0</v>
      </c>
    </row>
    <row r="18" spans="1:61">
      <c r="A18" s="3" t="s">
        <v>295</v>
      </c>
      <c r="B18" s="13"/>
      <c r="C18" s="13" t="s">
        <v>151</v>
      </c>
      <c r="E18" s="3">
        <v>227243</v>
      </c>
      <c r="F18" s="3"/>
      <c r="G18" s="3">
        <v>0</v>
      </c>
      <c r="H18" s="3"/>
      <c r="I18" s="3">
        <v>3252019</v>
      </c>
      <c r="J18" s="3"/>
      <c r="K18" s="23">
        <v>0</v>
      </c>
      <c r="L18" s="3"/>
      <c r="M18" s="3">
        <v>123724</v>
      </c>
      <c r="N18" s="3"/>
      <c r="O18" s="3">
        <v>684576</v>
      </c>
      <c r="P18" s="3"/>
      <c r="Q18" s="3">
        <v>61623</v>
      </c>
      <c r="R18" s="3"/>
      <c r="S18" s="3">
        <v>32419</v>
      </c>
      <c r="T18" s="3"/>
      <c r="U18" s="3">
        <v>520500</v>
      </c>
      <c r="V18" s="3"/>
      <c r="W18" s="3">
        <v>225554</v>
      </c>
      <c r="X18" s="3"/>
      <c r="Y18" s="3">
        <v>0</v>
      </c>
      <c r="Z18" s="3"/>
      <c r="AA18" s="3">
        <v>511852</v>
      </c>
      <c r="AB18" s="3"/>
      <c r="AC18" s="3" t="s">
        <v>295</v>
      </c>
      <c r="AD18" s="13"/>
      <c r="AE18" s="13" t="s">
        <v>151</v>
      </c>
      <c r="AF18" s="13"/>
      <c r="AG18" s="3">
        <v>0</v>
      </c>
      <c r="AH18" s="3"/>
      <c r="AI18" s="3">
        <v>148452</v>
      </c>
      <c r="AJ18" s="3"/>
      <c r="AK18" s="3"/>
      <c r="AL18" s="3"/>
      <c r="AM18" s="3">
        <v>168300</v>
      </c>
      <c r="AN18" s="3"/>
      <c r="AO18" s="3">
        <v>0</v>
      </c>
      <c r="AP18" s="3"/>
      <c r="AQ18" s="3">
        <v>22477</v>
      </c>
      <c r="AR18" s="3"/>
      <c r="AS18" s="3">
        <v>0</v>
      </c>
      <c r="AT18" s="3"/>
      <c r="AU18" s="3">
        <v>0</v>
      </c>
      <c r="AV18" s="3"/>
      <c r="AW18" s="3"/>
      <c r="AX18" s="3"/>
      <c r="AY18" s="3">
        <v>0</v>
      </c>
      <c r="AZ18" s="3"/>
      <c r="BA18" s="3">
        <f t="shared" si="0"/>
        <v>5978739</v>
      </c>
      <c r="BB18" s="3"/>
      <c r="BC18" s="3">
        <f>+'St of Act-Rev'!AE18-BA18</f>
        <v>782533</v>
      </c>
      <c r="BD18" s="3"/>
      <c r="BE18" s="3">
        <v>1099682</v>
      </c>
      <c r="BF18" s="3"/>
      <c r="BG18" s="3">
        <f t="shared" si="1"/>
        <v>1882215</v>
      </c>
      <c r="BI18" s="3">
        <f>+'St of Net Assets'!Y18-BG18</f>
        <v>0</v>
      </c>
    </row>
    <row r="19" spans="1:61">
      <c r="A19" s="3" t="s">
        <v>222</v>
      </c>
      <c r="B19" s="13"/>
      <c r="C19" s="13" t="s">
        <v>200</v>
      </c>
      <c r="E19" s="3">
        <v>1155579</v>
      </c>
      <c r="F19" s="3"/>
      <c r="G19" s="3">
        <v>499695</v>
      </c>
      <c r="H19" s="3"/>
      <c r="I19" s="3">
        <v>5351377</v>
      </c>
      <c r="J19" s="3"/>
      <c r="K19" s="23">
        <v>1327969</v>
      </c>
      <c r="L19" s="3"/>
      <c r="M19" s="3">
        <v>0</v>
      </c>
      <c r="N19" s="3"/>
      <c r="O19" s="3">
        <v>815220</v>
      </c>
      <c r="P19" s="3"/>
      <c r="Q19" s="3">
        <v>679149</v>
      </c>
      <c r="R19" s="3"/>
      <c r="S19" s="3">
        <v>169173</v>
      </c>
      <c r="T19" s="3"/>
      <c r="U19" s="3">
        <v>801623</v>
      </c>
      <c r="V19" s="3"/>
      <c r="W19" s="3">
        <v>433531</v>
      </c>
      <c r="X19" s="3"/>
      <c r="Y19" s="3">
        <v>0</v>
      </c>
      <c r="Z19" s="3"/>
      <c r="AA19" s="3">
        <v>1432147</v>
      </c>
      <c r="AB19" s="3"/>
      <c r="AC19" s="3" t="s">
        <v>222</v>
      </c>
      <c r="AD19" s="13"/>
      <c r="AE19" s="13" t="s">
        <v>200</v>
      </c>
      <c r="AF19" s="13"/>
      <c r="AG19" s="3">
        <v>12266</v>
      </c>
      <c r="AH19" s="3"/>
      <c r="AI19" s="3">
        <v>188992</v>
      </c>
      <c r="AJ19" s="3"/>
      <c r="AK19" s="3"/>
      <c r="AL19" s="3"/>
      <c r="AM19" s="3">
        <v>450926</v>
      </c>
      <c r="AN19" s="3"/>
      <c r="AO19" s="3">
        <v>0</v>
      </c>
      <c r="AP19" s="3"/>
      <c r="AQ19" s="3">
        <v>16982</v>
      </c>
      <c r="AR19" s="3"/>
      <c r="AS19" s="3">
        <v>8287</v>
      </c>
      <c r="AT19" s="3"/>
      <c r="AU19" s="3">
        <v>0</v>
      </c>
      <c r="AV19" s="3"/>
      <c r="AW19" s="3"/>
      <c r="AX19" s="3"/>
      <c r="AY19" s="3">
        <v>0</v>
      </c>
      <c r="AZ19" s="3"/>
      <c r="BA19" s="3">
        <f t="shared" si="0"/>
        <v>13342916</v>
      </c>
      <c r="BB19" s="3"/>
      <c r="BC19" s="3">
        <f>+'St of Act-Rev'!AE19-BA19</f>
        <v>1940115</v>
      </c>
      <c r="BD19" s="3"/>
      <c r="BE19" s="3">
        <v>23062738</v>
      </c>
      <c r="BF19" s="3"/>
      <c r="BG19" s="3">
        <f t="shared" si="1"/>
        <v>25002853</v>
      </c>
      <c r="BI19" s="3">
        <f>+'St of Net Assets'!Y19-BG19</f>
        <v>0</v>
      </c>
    </row>
    <row r="20" spans="1:61">
      <c r="A20" s="3" t="s">
        <v>366</v>
      </c>
      <c r="B20" s="13"/>
      <c r="C20" s="13" t="s">
        <v>149</v>
      </c>
      <c r="E20" s="3">
        <v>422367</v>
      </c>
      <c r="F20" s="3"/>
      <c r="G20" s="3">
        <v>23800763</v>
      </c>
      <c r="H20" s="3"/>
      <c r="I20" s="3">
        <v>0</v>
      </c>
      <c r="J20" s="3"/>
      <c r="K20" s="23">
        <v>0</v>
      </c>
      <c r="L20" s="3"/>
      <c r="M20" s="3">
        <v>435778</v>
      </c>
      <c r="N20" s="3"/>
      <c r="O20" s="3">
        <v>1433617</v>
      </c>
      <c r="P20" s="3"/>
      <c r="Q20" s="3">
        <v>3169028</v>
      </c>
      <c r="R20" s="3"/>
      <c r="S20" s="3">
        <v>110795</v>
      </c>
      <c r="T20" s="3"/>
      <c r="U20" s="3">
        <v>2695104</v>
      </c>
      <c r="V20" s="3"/>
      <c r="W20" s="3">
        <v>1141437</v>
      </c>
      <c r="X20" s="3"/>
      <c r="Y20" s="3">
        <v>61389</v>
      </c>
      <c r="Z20" s="3"/>
      <c r="AA20" s="3">
        <v>3904580</v>
      </c>
      <c r="AB20" s="3"/>
      <c r="AC20" s="3" t="s">
        <v>366</v>
      </c>
      <c r="AD20" s="13"/>
      <c r="AE20" s="13" t="s">
        <v>149</v>
      </c>
      <c r="AF20" s="13"/>
      <c r="AG20" s="3">
        <v>92094</v>
      </c>
      <c r="AH20" s="3"/>
      <c r="AI20" s="3">
        <v>3251592</v>
      </c>
      <c r="AJ20" s="3"/>
      <c r="AK20" s="3"/>
      <c r="AL20" s="3"/>
      <c r="AM20" s="3">
        <v>0</v>
      </c>
      <c r="AN20" s="3"/>
      <c r="AO20" s="3">
        <v>18740</v>
      </c>
      <c r="AP20" s="3"/>
      <c r="AQ20" s="3">
        <v>402495</v>
      </c>
      <c r="AR20" s="3"/>
      <c r="AS20" s="3">
        <v>67944</v>
      </c>
      <c r="AT20" s="3"/>
      <c r="AU20" s="3">
        <v>0</v>
      </c>
      <c r="AV20" s="3"/>
      <c r="AW20" s="3"/>
      <c r="AX20" s="3"/>
      <c r="AY20" s="3">
        <v>0</v>
      </c>
      <c r="AZ20" s="3"/>
      <c r="BA20" s="3">
        <f t="shared" si="0"/>
        <v>41007723</v>
      </c>
      <c r="BB20" s="3"/>
      <c r="BC20" s="3">
        <f>+'St of Act-Rev'!AE20-BA20</f>
        <v>-569952</v>
      </c>
      <c r="BD20" s="3"/>
      <c r="BE20" s="3">
        <v>55587625</v>
      </c>
      <c r="BF20" s="3"/>
      <c r="BG20" s="3">
        <f t="shared" si="1"/>
        <v>55017673</v>
      </c>
      <c r="BI20" s="3">
        <f>+'St of Net Assets'!Y20-BG20</f>
        <v>0</v>
      </c>
    </row>
    <row r="21" spans="1:61">
      <c r="A21" s="3" t="s">
        <v>278</v>
      </c>
      <c r="B21" s="13"/>
      <c r="C21" s="13" t="s">
        <v>175</v>
      </c>
      <c r="E21" s="3">
        <v>316477</v>
      </c>
      <c r="F21" s="3"/>
      <c r="G21" s="3">
        <v>565011</v>
      </c>
      <c r="H21" s="3"/>
      <c r="I21" s="3">
        <v>4897921</v>
      </c>
      <c r="J21" s="3"/>
      <c r="K21" s="23">
        <v>2216542</v>
      </c>
      <c r="L21" s="3"/>
      <c r="M21" s="3">
        <v>0</v>
      </c>
      <c r="N21" s="3"/>
      <c r="O21" s="3">
        <v>585454</v>
      </c>
      <c r="P21" s="3"/>
      <c r="Q21" s="3">
        <v>963380</v>
      </c>
      <c r="R21" s="3"/>
      <c r="S21" s="3">
        <v>26093</v>
      </c>
      <c r="T21" s="3"/>
      <c r="U21" s="3">
        <v>937192</v>
      </c>
      <c r="V21" s="3"/>
      <c r="W21" s="3">
        <v>406055</v>
      </c>
      <c r="X21" s="3"/>
      <c r="Y21" s="3">
        <v>420010</v>
      </c>
      <c r="Z21" s="3"/>
      <c r="AA21" s="3">
        <v>1420244</v>
      </c>
      <c r="AB21" s="3"/>
      <c r="AC21" s="3" t="s">
        <v>278</v>
      </c>
      <c r="AD21" s="13"/>
      <c r="AE21" s="13" t="s">
        <v>175</v>
      </c>
      <c r="AF21" s="13"/>
      <c r="AG21" s="3">
        <v>12771</v>
      </c>
      <c r="AH21" s="3"/>
      <c r="AI21" s="3">
        <v>812405</v>
      </c>
      <c r="AJ21" s="3"/>
      <c r="AK21" s="3"/>
      <c r="AL21" s="3"/>
      <c r="AM21" s="3">
        <v>274641</v>
      </c>
      <c r="AN21" s="3"/>
      <c r="AO21" s="3">
        <v>320</v>
      </c>
      <c r="AP21" s="3"/>
      <c r="AQ21" s="3">
        <v>59923</v>
      </c>
      <c r="AR21" s="3"/>
      <c r="AS21" s="3">
        <v>1064482</v>
      </c>
      <c r="AT21" s="3"/>
      <c r="AU21" s="3">
        <v>0</v>
      </c>
      <c r="AV21" s="3"/>
      <c r="AW21" s="3"/>
      <c r="AX21" s="3"/>
      <c r="AY21" s="3">
        <v>0</v>
      </c>
      <c r="AZ21" s="3"/>
      <c r="BA21" s="3">
        <f>SUM(E21:AZ21)</f>
        <v>14978921</v>
      </c>
      <c r="BB21" s="3"/>
      <c r="BC21" s="3">
        <f>+'St of Act-Rev'!AE21-BA21</f>
        <v>2561712</v>
      </c>
      <c r="BD21" s="3"/>
      <c r="BE21" s="3">
        <v>15429891</v>
      </c>
      <c r="BF21" s="3"/>
      <c r="BG21" s="3">
        <f>+BC21+BE21</f>
        <v>17991603</v>
      </c>
      <c r="BI21" s="3">
        <f>+'St of Net Assets'!Y21-BG21</f>
        <v>0</v>
      </c>
    </row>
    <row r="22" spans="1:61" hidden="1">
      <c r="A22" s="3" t="s">
        <v>276</v>
      </c>
      <c r="B22" s="13"/>
      <c r="C22" s="13" t="s">
        <v>216</v>
      </c>
      <c r="E22" s="3">
        <v>0</v>
      </c>
      <c r="F22" s="3"/>
      <c r="G22" s="3">
        <v>0</v>
      </c>
      <c r="H22" s="3"/>
      <c r="I22" s="3">
        <v>0</v>
      </c>
      <c r="J22" s="3"/>
      <c r="K22" s="3">
        <v>0</v>
      </c>
      <c r="L22" s="3"/>
      <c r="M22" s="3">
        <v>0</v>
      </c>
      <c r="N22" s="3"/>
      <c r="O22" s="3">
        <v>0</v>
      </c>
      <c r="P22" s="3"/>
      <c r="Q22" s="3">
        <v>0</v>
      </c>
      <c r="R22" s="3"/>
      <c r="S22" s="3">
        <v>0</v>
      </c>
      <c r="T22" s="3"/>
      <c r="U22" s="3">
        <v>0</v>
      </c>
      <c r="V22" s="3"/>
      <c r="W22" s="3">
        <v>0</v>
      </c>
      <c r="X22" s="3"/>
      <c r="Y22" s="3">
        <v>0</v>
      </c>
      <c r="Z22" s="3"/>
      <c r="AA22" s="3">
        <v>0</v>
      </c>
      <c r="AB22" s="3"/>
      <c r="AC22" s="3" t="s">
        <v>276</v>
      </c>
      <c r="AD22" s="13"/>
      <c r="AE22" s="13" t="s">
        <v>216</v>
      </c>
      <c r="AF22" s="13"/>
      <c r="AG22" s="3">
        <v>0</v>
      </c>
      <c r="AH22" s="3"/>
      <c r="AI22" s="3">
        <v>0</v>
      </c>
      <c r="AJ22" s="3"/>
      <c r="AK22" s="3"/>
      <c r="AL22" s="3"/>
      <c r="AM22" s="3">
        <v>0</v>
      </c>
      <c r="AN22" s="3"/>
      <c r="AO22" s="3">
        <v>0</v>
      </c>
      <c r="AP22" s="3"/>
      <c r="AQ22" s="3">
        <v>0</v>
      </c>
      <c r="AR22" s="3"/>
      <c r="AS22" s="3">
        <v>0</v>
      </c>
      <c r="AT22" s="3"/>
      <c r="AU22" s="3">
        <v>0</v>
      </c>
      <c r="AV22" s="3"/>
      <c r="AW22" s="3"/>
      <c r="AX22" s="3"/>
      <c r="AY22" s="3">
        <v>0</v>
      </c>
      <c r="AZ22" s="3"/>
      <c r="BA22" s="3">
        <f t="shared" si="0"/>
        <v>0</v>
      </c>
      <c r="BB22" s="3"/>
      <c r="BC22" s="3">
        <f>+'St of Act-Rev'!AE22-BA22</f>
        <v>0</v>
      </c>
      <c r="BD22" s="3"/>
      <c r="BE22" s="3"/>
      <c r="BF22" s="3"/>
      <c r="BG22" s="3">
        <f t="shared" si="1"/>
        <v>0</v>
      </c>
      <c r="BI22" s="3">
        <f>+'St of Net Assets'!Y22-BG22</f>
        <v>0</v>
      </c>
    </row>
    <row r="23" spans="1:61">
      <c r="A23" s="3" t="s">
        <v>365</v>
      </c>
      <c r="B23" s="13"/>
      <c r="C23" s="13" t="s">
        <v>158</v>
      </c>
      <c r="E23" s="3">
        <v>589940</v>
      </c>
      <c r="F23" s="3"/>
      <c r="G23" s="3">
        <v>174908</v>
      </c>
      <c r="H23" s="3"/>
      <c r="I23" s="3">
        <v>2061500</v>
      </c>
      <c r="J23" s="3"/>
      <c r="K23" s="3">
        <v>883246</v>
      </c>
      <c r="L23" s="3"/>
      <c r="M23" s="3">
        <v>0</v>
      </c>
      <c r="N23" s="3"/>
      <c r="O23" s="3">
        <v>415681</v>
      </c>
      <c r="P23" s="3"/>
      <c r="Q23" s="3">
        <v>502726</v>
      </c>
      <c r="R23" s="3"/>
      <c r="S23" s="3">
        <v>27543</v>
      </c>
      <c r="T23" s="3"/>
      <c r="U23" s="3">
        <v>919093</v>
      </c>
      <c r="V23" s="3"/>
      <c r="W23" s="3">
        <v>343691</v>
      </c>
      <c r="X23" s="3"/>
      <c r="Y23" s="3">
        <v>0</v>
      </c>
      <c r="Z23" s="3"/>
      <c r="AA23" s="3">
        <v>738221</v>
      </c>
      <c r="AB23" s="3"/>
      <c r="AC23" s="3" t="s">
        <v>365</v>
      </c>
      <c r="AD23" s="13"/>
      <c r="AE23" s="13" t="s">
        <v>158</v>
      </c>
      <c r="AF23" s="13"/>
      <c r="AG23" s="3">
        <v>0</v>
      </c>
      <c r="AH23" s="3"/>
      <c r="AI23" s="3">
        <v>22548</v>
      </c>
      <c r="AJ23" s="3"/>
      <c r="AK23" s="3"/>
      <c r="AL23" s="3"/>
      <c r="AM23" s="3">
        <v>226044</v>
      </c>
      <c r="AN23" s="3"/>
      <c r="AO23" s="3">
        <v>0</v>
      </c>
      <c r="AP23" s="3"/>
      <c r="AQ23" s="3">
        <v>31566</v>
      </c>
      <c r="AR23" s="3"/>
      <c r="AS23" s="3">
        <v>0</v>
      </c>
      <c r="AT23" s="3"/>
      <c r="AU23" s="3">
        <v>0</v>
      </c>
      <c r="AV23" s="3"/>
      <c r="AW23" s="3"/>
      <c r="AX23" s="3"/>
      <c r="AY23" s="3">
        <v>0</v>
      </c>
      <c r="AZ23" s="3"/>
      <c r="BA23" s="3">
        <f t="shared" si="0"/>
        <v>6936707</v>
      </c>
      <c r="BB23" s="3"/>
      <c r="BC23" s="3">
        <f>+'St of Act-Rev'!AE23-BA23</f>
        <v>1169263</v>
      </c>
      <c r="BD23" s="3"/>
      <c r="BE23" s="3">
        <v>14370075</v>
      </c>
      <c r="BF23" s="3"/>
      <c r="BG23" s="3">
        <f t="shared" si="1"/>
        <v>15539338</v>
      </c>
      <c r="BI23" s="3">
        <f>+'St of Net Assets'!Y23-BG23</f>
        <v>0</v>
      </c>
    </row>
    <row r="24" spans="1:61">
      <c r="A24" s="3" t="s">
        <v>245</v>
      </c>
      <c r="B24" s="13"/>
      <c r="C24" s="13" t="s">
        <v>209</v>
      </c>
      <c r="E24" s="3">
        <v>500826</v>
      </c>
      <c r="F24" s="3"/>
      <c r="G24" s="3">
        <v>87351</v>
      </c>
      <c r="H24" s="3"/>
      <c r="I24" s="3">
        <v>1589328</v>
      </c>
      <c r="J24" s="3"/>
      <c r="K24" s="3">
        <v>0</v>
      </c>
      <c r="L24" s="3"/>
      <c r="M24" s="3">
        <v>0</v>
      </c>
      <c r="N24" s="3"/>
      <c r="O24" s="3">
        <v>189664</v>
      </c>
      <c r="P24" s="3"/>
      <c r="Q24" s="3">
        <v>202902</v>
      </c>
      <c r="R24" s="3"/>
      <c r="S24" s="3">
        <v>36648</v>
      </c>
      <c r="T24" s="3"/>
      <c r="U24" s="3">
        <v>225595</v>
      </c>
      <c r="V24" s="3"/>
      <c r="W24" s="3">
        <v>179524</v>
      </c>
      <c r="X24" s="3"/>
      <c r="Y24" s="3">
        <v>18387</v>
      </c>
      <c r="Z24" s="3"/>
      <c r="AA24" s="3">
        <v>501253</v>
      </c>
      <c r="AB24" s="3"/>
      <c r="AC24" s="3" t="s">
        <v>245</v>
      </c>
      <c r="AD24" s="13"/>
      <c r="AE24" s="13" t="s">
        <v>209</v>
      </c>
      <c r="AF24" s="13"/>
      <c r="AG24" s="3">
        <v>7783</v>
      </c>
      <c r="AH24" s="3"/>
      <c r="AI24" s="3">
        <v>23184</v>
      </c>
      <c r="AJ24" s="3"/>
      <c r="AK24" s="3"/>
      <c r="AL24" s="3"/>
      <c r="AM24" s="3">
        <v>121704</v>
      </c>
      <c r="AN24" s="3"/>
      <c r="AO24" s="3">
        <v>0</v>
      </c>
      <c r="AP24" s="3"/>
      <c r="AQ24" s="3">
        <v>14849</v>
      </c>
      <c r="AR24" s="3"/>
      <c r="AS24" s="3">
        <v>17908</v>
      </c>
      <c r="AT24" s="3"/>
      <c r="AU24" s="3">
        <v>0</v>
      </c>
      <c r="AV24" s="3"/>
      <c r="AW24" s="3"/>
      <c r="AX24" s="3"/>
      <c r="AY24" s="3">
        <v>0</v>
      </c>
      <c r="AZ24" s="3"/>
      <c r="BA24" s="3">
        <f t="shared" si="0"/>
        <v>3716906</v>
      </c>
      <c r="BB24" s="3"/>
      <c r="BC24" s="3">
        <f>+'St of Act-Rev'!AE24-BA24</f>
        <v>306651</v>
      </c>
      <c r="BD24" s="3"/>
      <c r="BE24" s="3">
        <v>1138539</v>
      </c>
      <c r="BF24" s="3"/>
      <c r="BG24" s="3">
        <f t="shared" si="1"/>
        <v>1445190</v>
      </c>
      <c r="BI24" s="3">
        <f>+'St of Net Assets'!Y24-BG24</f>
        <v>0</v>
      </c>
    </row>
    <row r="25" spans="1:61">
      <c r="A25" s="3" t="s">
        <v>243</v>
      </c>
      <c r="B25" s="13"/>
      <c r="C25" s="13" t="s">
        <v>159</v>
      </c>
      <c r="E25" s="3">
        <v>878831</v>
      </c>
      <c r="F25" s="3"/>
      <c r="G25" s="3">
        <v>0</v>
      </c>
      <c r="H25" s="3"/>
      <c r="I25" s="3">
        <v>5631628</v>
      </c>
      <c r="J25" s="3"/>
      <c r="K25" s="3">
        <v>1553898</v>
      </c>
      <c r="L25" s="3"/>
      <c r="M25" s="3">
        <v>0</v>
      </c>
      <c r="N25" s="3"/>
      <c r="O25" s="3">
        <v>1037585</v>
      </c>
      <c r="P25" s="3"/>
      <c r="Q25" s="3">
        <v>1309357</v>
      </c>
      <c r="R25" s="3"/>
      <c r="S25" s="3">
        <v>34049</v>
      </c>
      <c r="T25" s="3"/>
      <c r="U25" s="3">
        <v>2298228</v>
      </c>
      <c r="V25" s="3"/>
      <c r="W25" s="3">
        <v>962089</v>
      </c>
      <c r="X25" s="3"/>
      <c r="Y25" s="3">
        <v>675431</v>
      </c>
      <c r="Z25" s="3"/>
      <c r="AA25" s="3">
        <v>1590353</v>
      </c>
      <c r="AB25" s="3"/>
      <c r="AC25" s="3" t="s">
        <v>243</v>
      </c>
      <c r="AD25" s="13"/>
      <c r="AE25" s="13" t="s">
        <v>159</v>
      </c>
      <c r="AF25" s="13"/>
      <c r="AG25" s="3">
        <v>27380</v>
      </c>
      <c r="AH25" s="3"/>
      <c r="AI25" s="3">
        <v>303888</v>
      </c>
      <c r="AJ25" s="3"/>
      <c r="AK25" s="3"/>
      <c r="AL25" s="3"/>
      <c r="AM25" s="3">
        <v>146484</v>
      </c>
      <c r="AN25" s="3"/>
      <c r="AO25" s="3">
        <v>0</v>
      </c>
      <c r="AP25" s="3"/>
      <c r="AQ25" s="3">
        <v>30935</v>
      </c>
      <c r="AR25" s="3"/>
      <c r="AS25" s="3">
        <v>8742</v>
      </c>
      <c r="AT25" s="3"/>
      <c r="AU25" s="3">
        <v>0</v>
      </c>
      <c r="AV25" s="3"/>
      <c r="AW25" s="3"/>
      <c r="AX25" s="3"/>
      <c r="AY25" s="3">
        <f>238811+2022018</f>
        <v>2260829</v>
      </c>
      <c r="AZ25" s="3"/>
      <c r="BA25" s="3">
        <f t="shared" si="0"/>
        <v>18749707</v>
      </c>
      <c r="BB25" s="3"/>
      <c r="BC25" s="3">
        <f>+'St of Act-Rev'!AE25-BA25</f>
        <v>-2157917</v>
      </c>
      <c r="BD25" s="3"/>
      <c r="BE25" s="3">
        <v>31277611</v>
      </c>
      <c r="BF25" s="3"/>
      <c r="BG25" s="3">
        <f t="shared" si="1"/>
        <v>29119694</v>
      </c>
      <c r="BI25" s="3">
        <f>+'St of Net Assets'!Y25-BG25</f>
        <v>0</v>
      </c>
    </row>
    <row r="26" spans="1:61">
      <c r="A26" s="3" t="s">
        <v>242</v>
      </c>
      <c r="B26" s="13"/>
      <c r="C26" s="13" t="s">
        <v>161</v>
      </c>
      <c r="E26" s="3">
        <v>1043132</v>
      </c>
      <c r="F26" s="3"/>
      <c r="G26" s="3">
        <v>187961</v>
      </c>
      <c r="H26" s="3"/>
      <c r="I26" s="3">
        <v>5549480</v>
      </c>
      <c r="J26" s="3"/>
      <c r="K26" s="3">
        <v>1302578</v>
      </c>
      <c r="L26" s="3"/>
      <c r="M26" s="3">
        <v>105374</v>
      </c>
      <c r="N26" s="3"/>
      <c r="O26" s="3">
        <v>737635</v>
      </c>
      <c r="P26" s="3"/>
      <c r="Q26" s="3">
        <v>557879</v>
      </c>
      <c r="R26" s="3"/>
      <c r="S26" s="3">
        <v>90759</v>
      </c>
      <c r="T26" s="3"/>
      <c r="U26" s="3">
        <v>1409618</v>
      </c>
      <c r="V26" s="3"/>
      <c r="W26" s="3">
        <v>739463</v>
      </c>
      <c r="X26" s="3"/>
      <c r="Y26" s="3">
        <v>0</v>
      </c>
      <c r="Z26" s="3"/>
      <c r="AA26" s="3">
        <v>1601021</v>
      </c>
      <c r="AB26" s="3"/>
      <c r="AC26" s="3" t="s">
        <v>242</v>
      </c>
      <c r="AD26" s="13"/>
      <c r="AE26" s="13" t="s">
        <v>161</v>
      </c>
      <c r="AF26" s="13"/>
      <c r="AG26" s="3">
        <v>37390</v>
      </c>
      <c r="AH26" s="3"/>
      <c r="AI26" s="3">
        <v>995037</v>
      </c>
      <c r="AJ26" s="3"/>
      <c r="AK26" s="3"/>
      <c r="AL26" s="3"/>
      <c r="AM26" s="3">
        <v>201975</v>
      </c>
      <c r="AN26" s="3"/>
      <c r="AO26" s="3">
        <v>19175</v>
      </c>
      <c r="AP26" s="3"/>
      <c r="AQ26" s="3">
        <v>17041</v>
      </c>
      <c r="AR26" s="3"/>
      <c r="AS26" s="3">
        <v>6745</v>
      </c>
      <c r="AT26" s="3"/>
      <c r="AU26" s="3">
        <v>0</v>
      </c>
      <c r="AV26" s="3"/>
      <c r="AW26" s="3"/>
      <c r="AX26" s="3"/>
      <c r="AY26" s="3">
        <v>0</v>
      </c>
      <c r="AZ26" s="3"/>
      <c r="BA26" s="3">
        <f t="shared" si="0"/>
        <v>14602263</v>
      </c>
      <c r="BB26" s="3"/>
      <c r="BC26" s="3">
        <f>+'St of Act-Rev'!AE26-BA26</f>
        <v>3131082</v>
      </c>
      <c r="BD26" s="3"/>
      <c r="BE26" s="3">
        <v>37536762</v>
      </c>
      <c r="BF26" s="3"/>
      <c r="BG26" s="3">
        <f t="shared" si="1"/>
        <v>40667844</v>
      </c>
      <c r="BI26" s="3">
        <f>+'St of Net Assets'!Y26-BG26</f>
        <v>0</v>
      </c>
    </row>
    <row r="27" spans="1:61">
      <c r="A27" s="3" t="s">
        <v>367</v>
      </c>
      <c r="B27" s="13"/>
      <c r="C27" s="13" t="s">
        <v>164</v>
      </c>
      <c r="E27" s="3">
        <v>3792024</v>
      </c>
      <c r="F27" s="3"/>
      <c r="G27" s="3">
        <v>1406485</v>
      </c>
      <c r="H27" s="3"/>
      <c r="I27" s="3">
        <v>7506974</v>
      </c>
      <c r="J27" s="3"/>
      <c r="K27" s="3">
        <v>218990</v>
      </c>
      <c r="L27" s="3"/>
      <c r="M27" s="3">
        <v>653222</v>
      </c>
      <c r="N27" s="3"/>
      <c r="O27" s="3">
        <v>970422</v>
      </c>
      <c r="P27" s="3"/>
      <c r="Q27" s="3">
        <v>543054</v>
      </c>
      <c r="R27" s="3"/>
      <c r="S27" s="3">
        <v>34085</v>
      </c>
      <c r="T27" s="3"/>
      <c r="U27" s="3">
        <v>2609067</v>
      </c>
      <c r="V27" s="3"/>
      <c r="W27" s="3">
        <v>798303</v>
      </c>
      <c r="X27" s="3"/>
      <c r="Y27" s="3">
        <v>4992</v>
      </c>
      <c r="Z27" s="3"/>
      <c r="AA27" s="3">
        <v>2705817</v>
      </c>
      <c r="AB27" s="3"/>
      <c r="AC27" s="3" t="s">
        <v>367</v>
      </c>
      <c r="AD27" s="13"/>
      <c r="AE27" s="13" t="s">
        <v>164</v>
      </c>
      <c r="AF27" s="13"/>
      <c r="AG27" s="3">
        <v>56667</v>
      </c>
      <c r="AH27" s="3"/>
      <c r="AI27" s="3">
        <v>680871</v>
      </c>
      <c r="AJ27" s="3"/>
      <c r="AK27" s="3"/>
      <c r="AL27" s="3"/>
      <c r="AM27" s="3">
        <v>0</v>
      </c>
      <c r="AN27" s="3"/>
      <c r="AO27" s="3">
        <v>377279</v>
      </c>
      <c r="AP27" s="3"/>
      <c r="AQ27" s="3">
        <v>53359</v>
      </c>
      <c r="AR27" s="3"/>
      <c r="AS27" s="3">
        <v>100209</v>
      </c>
      <c r="AT27" s="3"/>
      <c r="AU27" s="3">
        <v>0</v>
      </c>
      <c r="AV27" s="3"/>
      <c r="AW27" s="3"/>
      <c r="AX27" s="3"/>
      <c r="AY27" s="3">
        <v>0</v>
      </c>
      <c r="AZ27" s="3"/>
      <c r="BA27" s="3">
        <f t="shared" si="0"/>
        <v>22511820</v>
      </c>
      <c r="BB27" s="3"/>
      <c r="BC27" s="3">
        <f>+'St of Act-Rev'!AE27-BA27</f>
        <v>-1666420</v>
      </c>
      <c r="BD27" s="3"/>
      <c r="BE27" s="3">
        <v>42715132</v>
      </c>
      <c r="BF27" s="3"/>
      <c r="BG27" s="3">
        <f t="shared" si="1"/>
        <v>41048712</v>
      </c>
      <c r="BI27" s="3">
        <f>+'St of Net Assets'!Y27-BG27</f>
        <v>0</v>
      </c>
    </row>
    <row r="28" spans="1:61">
      <c r="A28" s="3" t="s">
        <v>244</v>
      </c>
      <c r="B28" s="13"/>
      <c r="C28" s="13" t="s">
        <v>162</v>
      </c>
      <c r="E28" s="3">
        <v>899270</v>
      </c>
      <c r="F28" s="3"/>
      <c r="G28" s="3">
        <v>435757</v>
      </c>
      <c r="H28" s="3"/>
      <c r="I28" s="3">
        <v>5447513</v>
      </c>
      <c r="J28" s="3"/>
      <c r="K28" s="3">
        <v>4055484</v>
      </c>
      <c r="L28" s="3"/>
      <c r="M28" s="3">
        <v>0</v>
      </c>
      <c r="N28" s="3"/>
      <c r="O28" s="3">
        <v>1005199</v>
      </c>
      <c r="P28" s="3"/>
      <c r="Q28" s="3">
        <v>313589</v>
      </c>
      <c r="R28" s="3"/>
      <c r="S28" s="3">
        <v>66714</v>
      </c>
      <c r="T28" s="3"/>
      <c r="U28" s="3">
        <v>2050176</v>
      </c>
      <c r="V28" s="3"/>
      <c r="W28" s="3">
        <v>436027</v>
      </c>
      <c r="X28" s="3"/>
      <c r="Y28" s="3">
        <v>314506</v>
      </c>
      <c r="Z28" s="3"/>
      <c r="AA28" s="3">
        <v>1683837</v>
      </c>
      <c r="AB28" s="3"/>
      <c r="AC28" s="3" t="s">
        <v>244</v>
      </c>
      <c r="AD28" s="13"/>
      <c r="AE28" s="13" t="s">
        <v>162</v>
      </c>
      <c r="AF28" s="13"/>
      <c r="AG28" s="3">
        <v>45704</v>
      </c>
      <c r="AH28" s="3"/>
      <c r="AI28" s="3">
        <v>535278</v>
      </c>
      <c r="AJ28" s="3"/>
      <c r="AK28" s="3"/>
      <c r="AL28" s="3"/>
      <c r="AM28" s="3">
        <v>366849</v>
      </c>
      <c r="AN28" s="3"/>
      <c r="AO28" s="3">
        <v>279735</v>
      </c>
      <c r="AP28" s="3"/>
      <c r="AQ28" s="3">
        <v>0</v>
      </c>
      <c r="AR28" s="3"/>
      <c r="AS28" s="3">
        <v>149198</v>
      </c>
      <c r="AT28" s="3"/>
      <c r="AU28" s="3">
        <v>0</v>
      </c>
      <c r="AV28" s="3"/>
      <c r="AW28" s="3"/>
      <c r="AX28" s="3"/>
      <c r="AY28" s="3">
        <v>0</v>
      </c>
      <c r="AZ28" s="3"/>
      <c r="BA28" s="3">
        <f t="shared" si="0"/>
        <v>18084836</v>
      </c>
      <c r="BB28" s="3"/>
      <c r="BC28" s="3">
        <f>+'St of Act-Rev'!AE28-BA28</f>
        <v>297610</v>
      </c>
      <c r="BD28" s="3"/>
      <c r="BE28" s="3">
        <v>3587816</v>
      </c>
      <c r="BF28" s="3"/>
      <c r="BG28" s="3">
        <f t="shared" si="1"/>
        <v>3885426</v>
      </c>
      <c r="BI28" s="3">
        <f>+'St of Net Assets'!Y28-BG28</f>
        <v>0</v>
      </c>
    </row>
    <row r="29" spans="1:61">
      <c r="A29" s="3" t="s">
        <v>246</v>
      </c>
      <c r="B29" s="13"/>
      <c r="C29" s="13" t="s">
        <v>211</v>
      </c>
      <c r="E29" s="3">
        <v>16343</v>
      </c>
      <c r="F29" s="3"/>
      <c r="G29" s="3">
        <v>3024</v>
      </c>
      <c r="H29" s="3"/>
      <c r="I29" s="3">
        <v>10223288</v>
      </c>
      <c r="J29" s="3"/>
      <c r="K29" s="3">
        <v>1231086</v>
      </c>
      <c r="L29" s="3"/>
      <c r="M29" s="3">
        <v>0</v>
      </c>
      <c r="N29" s="3"/>
      <c r="O29" s="3">
        <v>1666711</v>
      </c>
      <c r="P29" s="3"/>
      <c r="Q29" s="3">
        <v>526684</v>
      </c>
      <c r="R29" s="3"/>
      <c r="S29" s="3">
        <v>80008</v>
      </c>
      <c r="T29" s="3"/>
      <c r="U29" s="3">
        <v>1414222</v>
      </c>
      <c r="V29" s="3"/>
      <c r="W29" s="3">
        <v>512746</v>
      </c>
      <c r="X29" s="3"/>
      <c r="Y29" s="3">
        <v>83885</v>
      </c>
      <c r="Z29" s="3"/>
      <c r="AA29" s="3">
        <v>1538235</v>
      </c>
      <c r="AB29" s="3"/>
      <c r="AC29" s="3" t="s">
        <v>246</v>
      </c>
      <c r="AD29" s="13"/>
      <c r="AE29" s="13" t="s">
        <v>211</v>
      </c>
      <c r="AF29" s="13"/>
      <c r="AG29" s="3">
        <v>30813</v>
      </c>
      <c r="AH29" s="3"/>
      <c r="AI29" s="3">
        <v>426819</v>
      </c>
      <c r="AJ29" s="3"/>
      <c r="AK29" s="3"/>
      <c r="AL29" s="3"/>
      <c r="AM29" s="3">
        <v>0</v>
      </c>
      <c r="AN29" s="3"/>
      <c r="AO29" s="3">
        <v>523848</v>
      </c>
      <c r="AP29" s="3"/>
      <c r="AQ29" s="3">
        <v>100428</v>
      </c>
      <c r="AR29" s="3"/>
      <c r="AS29" s="3">
        <v>0</v>
      </c>
      <c r="AT29" s="3"/>
      <c r="AU29" s="3">
        <v>0</v>
      </c>
      <c r="AV29" s="3"/>
      <c r="AW29" s="3"/>
      <c r="AX29" s="3"/>
      <c r="AY29" s="3">
        <v>154703</v>
      </c>
      <c r="AZ29" s="3"/>
      <c r="BA29" s="3">
        <f t="shared" si="0"/>
        <v>18532843</v>
      </c>
      <c r="BB29" s="3"/>
      <c r="BC29" s="3">
        <f>+'St of Act-Rev'!AE29-BA29</f>
        <v>-1355019</v>
      </c>
      <c r="BD29" s="3"/>
      <c r="BE29" s="3">
        <v>18102032</v>
      </c>
      <c r="BF29" s="3"/>
      <c r="BG29" s="3">
        <f t="shared" si="1"/>
        <v>16747013</v>
      </c>
      <c r="BI29" s="3">
        <f>+'St of Net Assets'!Y29-BG29</f>
        <v>0</v>
      </c>
    </row>
    <row r="30" spans="1:61">
      <c r="A30" s="3" t="s">
        <v>210</v>
      </c>
      <c r="B30" s="13"/>
      <c r="C30" s="13" t="s">
        <v>167</v>
      </c>
      <c r="E30" s="3">
        <v>85018</v>
      </c>
      <c r="F30" s="3"/>
      <c r="G30" s="3">
        <v>880067</v>
      </c>
      <c r="H30" s="3"/>
      <c r="I30" s="3">
        <v>4665051</v>
      </c>
      <c r="J30" s="3"/>
      <c r="K30" s="3">
        <v>857133</v>
      </c>
      <c r="L30" s="3"/>
      <c r="M30" s="3">
        <v>0</v>
      </c>
      <c r="N30" s="3"/>
      <c r="O30" s="3">
        <v>437677</v>
      </c>
      <c r="P30" s="3"/>
      <c r="Q30" s="3">
        <v>383489</v>
      </c>
      <c r="R30" s="3"/>
      <c r="S30" s="3">
        <v>71436</v>
      </c>
      <c r="T30" s="3"/>
      <c r="U30" s="3">
        <v>559953</v>
      </c>
      <c r="V30" s="3"/>
      <c r="W30" s="3">
        <v>381147</v>
      </c>
      <c r="X30" s="3"/>
      <c r="Y30" s="3">
        <v>60214</v>
      </c>
      <c r="Z30" s="3"/>
      <c r="AA30" s="3">
        <v>1449922</v>
      </c>
      <c r="AB30" s="3"/>
      <c r="AC30" s="3" t="s">
        <v>210</v>
      </c>
      <c r="AD30" s="13"/>
      <c r="AE30" s="13" t="s">
        <v>167</v>
      </c>
      <c r="AF30" s="13"/>
      <c r="AG30" s="3">
        <v>22804</v>
      </c>
      <c r="AH30" s="3"/>
      <c r="AI30" s="3">
        <v>241568</v>
      </c>
      <c r="AJ30" s="3"/>
      <c r="AK30" s="3"/>
      <c r="AL30" s="3"/>
      <c r="AM30" s="3">
        <v>227990</v>
      </c>
      <c r="AN30" s="3"/>
      <c r="AO30" s="3">
        <v>0</v>
      </c>
      <c r="AP30" s="3"/>
      <c r="AQ30" s="3">
        <v>12460</v>
      </c>
      <c r="AR30" s="3"/>
      <c r="AS30" s="3">
        <v>55212</v>
      </c>
      <c r="AT30" s="3"/>
      <c r="AU30" s="3">
        <v>0</v>
      </c>
      <c r="AV30" s="3"/>
      <c r="AW30" s="3"/>
      <c r="AX30" s="3"/>
      <c r="AY30" s="3">
        <v>0</v>
      </c>
      <c r="AZ30" s="3"/>
      <c r="BA30" s="3">
        <f t="shared" si="0"/>
        <v>10391141</v>
      </c>
      <c r="BB30" s="3"/>
      <c r="BC30" s="3">
        <f>+'St of Act-Rev'!AE30-BA30</f>
        <v>-182635</v>
      </c>
      <c r="BD30" s="3"/>
      <c r="BE30" s="3">
        <v>23876978</v>
      </c>
      <c r="BF30" s="3"/>
      <c r="BG30" s="3">
        <f t="shared" si="1"/>
        <v>23694343</v>
      </c>
      <c r="BI30" s="3">
        <f>+'St of Net Assets'!Y30-BG30</f>
        <v>0</v>
      </c>
    </row>
    <row r="31" spans="1:61">
      <c r="A31" s="3" t="s">
        <v>368</v>
      </c>
      <c r="B31" s="13"/>
      <c r="C31" s="13" t="s">
        <v>170</v>
      </c>
      <c r="E31" s="3">
        <v>7217710</v>
      </c>
      <c r="F31" s="3"/>
      <c r="G31" s="3">
        <v>0</v>
      </c>
      <c r="H31" s="3"/>
      <c r="I31" s="3">
        <v>26948643</v>
      </c>
      <c r="J31" s="3"/>
      <c r="K31" s="3">
        <v>6924161</v>
      </c>
      <c r="L31" s="3"/>
      <c r="M31" s="3">
        <v>0</v>
      </c>
      <c r="N31" s="3"/>
      <c r="O31" s="3">
        <v>3906382</v>
      </c>
      <c r="P31" s="3"/>
      <c r="Q31" s="3">
        <v>2358540</v>
      </c>
      <c r="R31" s="3"/>
      <c r="S31" s="3">
        <v>373719</v>
      </c>
      <c r="T31" s="3"/>
      <c r="U31" s="3">
        <v>4129999</v>
      </c>
      <c r="V31" s="3"/>
      <c r="W31" s="3">
        <v>1954423</v>
      </c>
      <c r="X31" s="3"/>
      <c r="Y31" s="3">
        <v>1032296</v>
      </c>
      <c r="Z31" s="3"/>
      <c r="AA31" s="3">
        <v>7940687</v>
      </c>
      <c r="AB31" s="3"/>
      <c r="AC31" s="3" t="s">
        <v>368</v>
      </c>
      <c r="AD31" s="3"/>
      <c r="AE31" s="3" t="s">
        <v>170</v>
      </c>
      <c r="AF31" s="13"/>
      <c r="AG31" s="3">
        <v>546461</v>
      </c>
      <c r="AH31" s="3"/>
      <c r="AI31" s="3">
        <v>5298381</v>
      </c>
      <c r="AJ31" s="3"/>
      <c r="AK31" s="3"/>
      <c r="AL31" s="3"/>
      <c r="AM31" s="3">
        <v>0</v>
      </c>
      <c r="AN31" s="3"/>
      <c r="AO31" s="3">
        <v>1333706</v>
      </c>
      <c r="AP31" s="3"/>
      <c r="AQ31" s="3">
        <v>2616</v>
      </c>
      <c r="AR31" s="3"/>
      <c r="AS31" s="3">
        <v>471745</v>
      </c>
      <c r="AT31" s="3"/>
      <c r="AU31" s="3">
        <v>0</v>
      </c>
      <c r="AV31" s="3"/>
      <c r="AW31" s="3"/>
      <c r="AX31" s="3"/>
      <c r="AY31" s="3">
        <v>0</v>
      </c>
      <c r="AZ31" s="3"/>
      <c r="BA31" s="3">
        <f t="shared" si="0"/>
        <v>70439469</v>
      </c>
      <c r="BB31" s="3"/>
      <c r="BC31" s="3">
        <f>+'St of Act-Rev'!AE31-BA31</f>
        <v>-3366141</v>
      </c>
      <c r="BD31" s="3"/>
      <c r="BE31" s="3">
        <v>132307361</v>
      </c>
      <c r="BF31" s="3"/>
      <c r="BG31" s="3">
        <f t="shared" si="1"/>
        <v>128941220</v>
      </c>
      <c r="BI31" s="3">
        <f>+'St of Net Assets'!Y31-BG31</f>
        <v>0</v>
      </c>
    </row>
    <row r="32" spans="1:61">
      <c r="A32" s="3" t="s">
        <v>321</v>
      </c>
      <c r="B32" s="13"/>
      <c r="C32" s="13" t="s">
        <v>169</v>
      </c>
      <c r="E32" s="3">
        <v>846979</v>
      </c>
      <c r="F32" s="3"/>
      <c r="G32" s="3">
        <v>7384383</v>
      </c>
      <c r="H32" s="3"/>
      <c r="I32" s="3">
        <v>0</v>
      </c>
      <c r="J32" s="3"/>
      <c r="K32" s="3">
        <v>1326008</v>
      </c>
      <c r="L32" s="3"/>
      <c r="M32" s="3">
        <v>0</v>
      </c>
      <c r="N32" s="3"/>
      <c r="O32" s="3">
        <v>1049287</v>
      </c>
      <c r="P32" s="3"/>
      <c r="Q32" s="3">
        <v>1760331</v>
      </c>
      <c r="R32" s="3"/>
      <c r="S32" s="3">
        <v>315058</v>
      </c>
      <c r="T32" s="3"/>
      <c r="U32" s="3">
        <v>776925</v>
      </c>
      <c r="V32" s="3"/>
      <c r="W32" s="3">
        <v>520080</v>
      </c>
      <c r="X32" s="3"/>
      <c r="Y32" s="3">
        <v>0</v>
      </c>
      <c r="Z32" s="3"/>
      <c r="AA32" s="3">
        <v>1653484</v>
      </c>
      <c r="AB32" s="3"/>
      <c r="AC32" s="3" t="s">
        <v>321</v>
      </c>
      <c r="AD32" s="13"/>
      <c r="AE32" s="13" t="s">
        <v>169</v>
      </c>
      <c r="AF32" s="13"/>
      <c r="AG32" s="3">
        <v>0</v>
      </c>
      <c r="AH32" s="3"/>
      <c r="AI32" s="3">
        <v>267661</v>
      </c>
      <c r="AJ32" s="3"/>
      <c r="AK32" s="3"/>
      <c r="AL32" s="3"/>
      <c r="AM32" s="3">
        <v>0</v>
      </c>
      <c r="AN32" s="3"/>
      <c r="AO32" s="3">
        <f>321904+44782</f>
        <v>366686</v>
      </c>
      <c r="AP32" s="3"/>
      <c r="AQ32" s="3">
        <v>41768</v>
      </c>
      <c r="AR32" s="3"/>
      <c r="AS32" s="3">
        <v>0</v>
      </c>
      <c r="AT32" s="3"/>
      <c r="AU32" s="3">
        <v>0</v>
      </c>
      <c r="AV32" s="3"/>
      <c r="AW32" s="3"/>
      <c r="AX32" s="3"/>
      <c r="AY32" s="3">
        <v>0</v>
      </c>
      <c r="AZ32" s="3"/>
      <c r="BA32" s="3">
        <f t="shared" si="0"/>
        <v>16308650</v>
      </c>
      <c r="BB32" s="3"/>
      <c r="BC32" s="3">
        <f>+'St of Act-Rev'!AE32-BA32</f>
        <v>723500</v>
      </c>
      <c r="BD32" s="3"/>
      <c r="BE32" s="3">
        <v>19660642</v>
      </c>
      <c r="BF32" s="3"/>
      <c r="BG32" s="3">
        <f t="shared" si="1"/>
        <v>20384142</v>
      </c>
      <c r="BI32" s="3">
        <f>+'St of Net Assets'!Y32-BG32</f>
        <v>0</v>
      </c>
    </row>
    <row r="33" spans="1:61">
      <c r="A33" s="3" t="s">
        <v>212</v>
      </c>
      <c r="B33" s="13"/>
      <c r="C33" s="13" t="s">
        <v>172</v>
      </c>
      <c r="E33" s="3">
        <v>206082</v>
      </c>
      <c r="F33" s="3"/>
      <c r="G33" s="3">
        <v>264403</v>
      </c>
      <c r="H33" s="3"/>
      <c r="I33" s="3">
        <v>2635926</v>
      </c>
      <c r="J33" s="3"/>
      <c r="K33" s="3">
        <v>6047</v>
      </c>
      <c r="L33" s="3"/>
      <c r="M33" s="3">
        <v>23</v>
      </c>
      <c r="N33" s="3"/>
      <c r="O33" s="3">
        <v>205595</v>
      </c>
      <c r="P33" s="3"/>
      <c r="Q33" s="3">
        <v>320573</v>
      </c>
      <c r="R33" s="3"/>
      <c r="S33" s="3">
        <v>48372</v>
      </c>
      <c r="T33" s="3"/>
      <c r="U33" s="3">
        <v>218070</v>
      </c>
      <c r="V33" s="3"/>
      <c r="W33" s="3">
        <v>274089</v>
      </c>
      <c r="X33" s="3"/>
      <c r="Y33" s="3">
        <v>0</v>
      </c>
      <c r="Z33" s="3"/>
      <c r="AA33" s="3">
        <v>659070</v>
      </c>
      <c r="AB33" s="3"/>
      <c r="AC33" s="3" t="s">
        <v>212</v>
      </c>
      <c r="AD33" s="13"/>
      <c r="AE33" s="13" t="s">
        <v>172</v>
      </c>
      <c r="AF33" s="13"/>
      <c r="AG33" s="3">
        <v>0</v>
      </c>
      <c r="AH33" s="3"/>
      <c r="AI33" s="3">
        <v>19266</v>
      </c>
      <c r="AJ33" s="3"/>
      <c r="AK33" s="3"/>
      <c r="AL33" s="3"/>
      <c r="AM33" s="3">
        <v>155320</v>
      </c>
      <c r="AN33" s="3"/>
      <c r="AO33" s="3">
        <v>0</v>
      </c>
      <c r="AP33" s="3"/>
      <c r="AQ33" s="3">
        <v>0</v>
      </c>
      <c r="AR33" s="3"/>
      <c r="AS33" s="3">
        <v>22179</v>
      </c>
      <c r="AT33" s="3"/>
      <c r="AU33" s="3">
        <v>0</v>
      </c>
      <c r="AV33" s="3"/>
      <c r="AW33" s="3"/>
      <c r="AX33" s="3"/>
      <c r="AY33" s="3">
        <v>0</v>
      </c>
      <c r="AZ33" s="3"/>
      <c r="BA33" s="3">
        <f t="shared" si="0"/>
        <v>5035015</v>
      </c>
      <c r="BB33" s="3"/>
      <c r="BC33" s="3">
        <f>+'St of Act-Rev'!AE33-BA33</f>
        <v>425398</v>
      </c>
      <c r="BD33" s="3"/>
      <c r="BE33" s="3">
        <v>2699118</v>
      </c>
      <c r="BF33" s="3"/>
      <c r="BG33" s="3">
        <f t="shared" si="1"/>
        <v>3124516</v>
      </c>
      <c r="BI33" s="3">
        <f>+'St of Net Assets'!Y33-BG33</f>
        <v>0</v>
      </c>
    </row>
    <row r="34" spans="1:61">
      <c r="A34" s="3" t="s">
        <v>247</v>
      </c>
      <c r="B34" s="13"/>
      <c r="C34" s="13" t="s">
        <v>173</v>
      </c>
      <c r="E34" s="3">
        <v>175398</v>
      </c>
      <c r="F34" s="3"/>
      <c r="G34" s="3">
        <v>0</v>
      </c>
      <c r="H34" s="3"/>
      <c r="I34" s="3">
        <v>5516901</v>
      </c>
      <c r="J34" s="3"/>
      <c r="K34" s="3">
        <v>1511670</v>
      </c>
      <c r="L34" s="3"/>
      <c r="M34" s="3">
        <v>0</v>
      </c>
      <c r="N34" s="3"/>
      <c r="O34" s="3">
        <v>641015</v>
      </c>
      <c r="P34" s="3"/>
      <c r="Q34" s="3">
        <v>786072</v>
      </c>
      <c r="R34" s="3"/>
      <c r="S34" s="3">
        <v>17885</v>
      </c>
      <c r="T34" s="3"/>
      <c r="U34" s="3">
        <v>1135223</v>
      </c>
      <c r="V34" s="3"/>
      <c r="W34" s="3">
        <v>471954</v>
      </c>
      <c r="X34" s="3"/>
      <c r="Y34" s="3">
        <v>51499</v>
      </c>
      <c r="Z34" s="3"/>
      <c r="AA34" s="3">
        <v>1473485</v>
      </c>
      <c r="AB34" s="3"/>
      <c r="AC34" s="3" t="s">
        <v>247</v>
      </c>
      <c r="AD34" s="13"/>
      <c r="AE34" s="13" t="s">
        <v>173</v>
      </c>
      <c r="AF34" s="13"/>
      <c r="AG34" s="3">
        <v>0</v>
      </c>
      <c r="AH34" s="3"/>
      <c r="AI34" s="3">
        <v>121799</v>
      </c>
      <c r="AJ34" s="3"/>
      <c r="AK34" s="3"/>
      <c r="AL34" s="3"/>
      <c r="AM34" s="3">
        <v>0</v>
      </c>
      <c r="AN34" s="3"/>
      <c r="AO34" s="3">
        <v>253160</v>
      </c>
      <c r="AP34" s="3"/>
      <c r="AQ34" s="3">
        <v>19997</v>
      </c>
      <c r="AR34" s="3"/>
      <c r="AS34" s="3">
        <v>205621</v>
      </c>
      <c r="AT34" s="3"/>
      <c r="AU34" s="3">
        <v>0</v>
      </c>
      <c r="AV34" s="3"/>
      <c r="AW34" s="3"/>
      <c r="AX34" s="3"/>
      <c r="AY34" s="3">
        <v>0</v>
      </c>
      <c r="AZ34" s="3"/>
      <c r="BA34" s="3">
        <f t="shared" si="0"/>
        <v>12381679</v>
      </c>
      <c r="BB34" s="3"/>
      <c r="BC34" s="3">
        <f>+'St of Act-Rev'!AE34-BA34</f>
        <v>-1153644</v>
      </c>
      <c r="BD34" s="3"/>
      <c r="BE34" s="3">
        <v>30781482</v>
      </c>
      <c r="BF34" s="3"/>
      <c r="BG34" s="3">
        <f t="shared" si="1"/>
        <v>29627838</v>
      </c>
      <c r="BI34" s="3">
        <f>+'St of Net Assets'!Y34-BG34</f>
        <v>0</v>
      </c>
    </row>
    <row r="35" spans="1:61">
      <c r="A35" s="3" t="s">
        <v>213</v>
      </c>
      <c r="B35" s="13"/>
      <c r="C35" s="13" t="s">
        <v>174</v>
      </c>
      <c r="E35" s="3">
        <v>104943</v>
      </c>
      <c r="F35" s="3"/>
      <c r="G35" s="3">
        <v>0</v>
      </c>
      <c r="H35" s="3"/>
      <c r="I35" s="3">
        <v>5770131</v>
      </c>
      <c r="J35" s="3"/>
      <c r="K35" s="3">
        <v>2723654</v>
      </c>
      <c r="L35" s="3"/>
      <c r="M35" s="3">
        <v>0</v>
      </c>
      <c r="N35" s="3"/>
      <c r="O35" s="3">
        <v>381008</v>
      </c>
      <c r="P35" s="3"/>
      <c r="Q35" s="3">
        <v>92972</v>
      </c>
      <c r="R35" s="3"/>
      <c r="S35" s="3">
        <v>59724</v>
      </c>
      <c r="T35" s="3"/>
      <c r="U35" s="3">
        <v>980146</v>
      </c>
      <c r="V35" s="3"/>
      <c r="W35" s="3">
        <v>601357</v>
      </c>
      <c r="X35" s="3"/>
      <c r="Y35" s="3">
        <v>0</v>
      </c>
      <c r="Z35" s="3"/>
      <c r="AA35" s="3">
        <v>684188</v>
      </c>
      <c r="AB35" s="3"/>
      <c r="AC35" s="3" t="s">
        <v>213</v>
      </c>
      <c r="AD35" s="13"/>
      <c r="AE35" s="13" t="s">
        <v>174</v>
      </c>
      <c r="AF35" s="13"/>
      <c r="AG35" s="3">
        <v>0</v>
      </c>
      <c r="AH35" s="3"/>
      <c r="AI35" s="3">
        <v>265933</v>
      </c>
      <c r="AJ35" s="3"/>
      <c r="AK35" s="3"/>
      <c r="AL35" s="3"/>
      <c r="AM35" s="3">
        <v>256618</v>
      </c>
      <c r="AN35" s="3"/>
      <c r="AO35" s="3">
        <v>1567970</v>
      </c>
      <c r="AP35" s="3"/>
      <c r="AQ35" s="3">
        <v>45615</v>
      </c>
      <c r="AR35" s="3"/>
      <c r="AS35" s="3">
        <v>470832</v>
      </c>
      <c r="AT35" s="3"/>
      <c r="AU35" s="3">
        <v>0</v>
      </c>
      <c r="AV35" s="3"/>
      <c r="AW35" s="3"/>
      <c r="AX35" s="3"/>
      <c r="AY35" s="3">
        <v>0</v>
      </c>
      <c r="AZ35" s="3"/>
      <c r="BA35" s="3">
        <f t="shared" si="0"/>
        <v>14005091</v>
      </c>
      <c r="BB35" s="3"/>
      <c r="BC35" s="3">
        <f>+'St of Act-Rev'!AE35-BA35</f>
        <v>-564507</v>
      </c>
      <c r="BD35" s="3"/>
      <c r="BE35" s="3">
        <v>22084217</v>
      </c>
      <c r="BF35" s="3"/>
      <c r="BG35" s="3">
        <f t="shared" si="1"/>
        <v>21519710</v>
      </c>
      <c r="BI35" s="3">
        <f>+'St of Net Assets'!Y35-BG35</f>
        <v>0</v>
      </c>
    </row>
    <row r="36" spans="1:61" hidden="1">
      <c r="A36" s="3" t="s">
        <v>289</v>
      </c>
      <c r="B36" s="13"/>
      <c r="C36" s="13" t="s">
        <v>175</v>
      </c>
      <c r="E36" s="3">
        <v>0</v>
      </c>
      <c r="F36" s="3"/>
      <c r="G36" s="3">
        <v>0</v>
      </c>
      <c r="H36" s="3"/>
      <c r="I36" s="3">
        <v>0</v>
      </c>
      <c r="J36" s="3"/>
      <c r="K36" s="3">
        <v>0</v>
      </c>
      <c r="L36" s="3"/>
      <c r="M36" s="3">
        <v>0</v>
      </c>
      <c r="N36" s="3"/>
      <c r="O36" s="3">
        <v>0</v>
      </c>
      <c r="P36" s="3"/>
      <c r="Q36" s="3">
        <v>0</v>
      </c>
      <c r="R36" s="3"/>
      <c r="S36" s="3">
        <v>0</v>
      </c>
      <c r="T36" s="3"/>
      <c r="U36" s="3">
        <v>0</v>
      </c>
      <c r="V36" s="3"/>
      <c r="W36" s="3">
        <v>0</v>
      </c>
      <c r="X36" s="3"/>
      <c r="Y36" s="3">
        <v>0</v>
      </c>
      <c r="Z36" s="3"/>
      <c r="AA36" s="3">
        <v>0</v>
      </c>
      <c r="AB36" s="3"/>
      <c r="AC36" s="3" t="s">
        <v>289</v>
      </c>
      <c r="AD36" s="13"/>
      <c r="AE36" s="13" t="s">
        <v>175</v>
      </c>
      <c r="AF36" s="13"/>
      <c r="AG36" s="3">
        <v>0</v>
      </c>
      <c r="AH36" s="3"/>
      <c r="AI36" s="3">
        <v>0</v>
      </c>
      <c r="AJ36" s="3"/>
      <c r="AK36" s="3"/>
      <c r="AL36" s="3"/>
      <c r="AM36" s="3">
        <v>0</v>
      </c>
      <c r="AN36" s="3"/>
      <c r="AO36" s="3">
        <v>0</v>
      </c>
      <c r="AP36" s="3"/>
      <c r="AQ36" s="3">
        <v>0</v>
      </c>
      <c r="AR36" s="3"/>
      <c r="AS36" s="3">
        <v>0</v>
      </c>
      <c r="AT36" s="3"/>
      <c r="AU36" s="3">
        <v>0</v>
      </c>
      <c r="AV36" s="3"/>
      <c r="AW36" s="3"/>
      <c r="AX36" s="3"/>
      <c r="AY36" s="3">
        <v>0</v>
      </c>
      <c r="AZ36" s="3"/>
      <c r="BA36" s="3">
        <f t="shared" si="0"/>
        <v>0</v>
      </c>
      <c r="BB36" s="3"/>
      <c r="BC36" s="3">
        <f>+'St of Act-Rev'!AE36-BA36</f>
        <v>0</v>
      </c>
      <c r="BD36" s="3"/>
      <c r="BE36" s="3"/>
      <c r="BF36" s="3"/>
      <c r="BG36" s="3">
        <f t="shared" si="1"/>
        <v>0</v>
      </c>
      <c r="BI36" s="3">
        <f>+'St of Net Assets'!Y36-BG36</f>
        <v>0</v>
      </c>
    </row>
    <row r="37" spans="1:61">
      <c r="A37" s="3" t="s">
        <v>215</v>
      </c>
      <c r="B37" s="13"/>
      <c r="C37" s="13" t="s">
        <v>144</v>
      </c>
      <c r="E37" s="3">
        <v>2105172</v>
      </c>
      <c r="F37" s="3"/>
      <c r="G37" s="3">
        <v>180</v>
      </c>
      <c r="H37" s="3"/>
      <c r="I37" s="3">
        <v>9888872</v>
      </c>
      <c r="J37" s="3"/>
      <c r="K37" s="3">
        <v>1731261</v>
      </c>
      <c r="L37" s="3"/>
      <c r="M37" s="3">
        <v>0</v>
      </c>
      <c r="N37" s="3"/>
      <c r="O37" s="3">
        <v>1734797</v>
      </c>
      <c r="P37" s="3"/>
      <c r="Q37" s="3">
        <v>1563786</v>
      </c>
      <c r="R37" s="3"/>
      <c r="S37" s="3">
        <v>40181</v>
      </c>
      <c r="T37" s="3"/>
      <c r="U37" s="3">
        <v>1942741</v>
      </c>
      <c r="V37" s="3"/>
      <c r="W37" s="3">
        <v>816964</v>
      </c>
      <c r="X37" s="3"/>
      <c r="Y37" s="3">
        <v>230158</v>
      </c>
      <c r="Z37" s="3"/>
      <c r="AA37" s="3">
        <v>2463134</v>
      </c>
      <c r="AB37" s="3"/>
      <c r="AC37" s="3" t="s">
        <v>215</v>
      </c>
      <c r="AD37" s="13"/>
      <c r="AE37" s="13" t="s">
        <v>144</v>
      </c>
      <c r="AF37" s="13"/>
      <c r="AG37" s="3">
        <v>99142</v>
      </c>
      <c r="AH37" s="3"/>
      <c r="AI37" s="3">
        <v>619628</v>
      </c>
      <c r="AJ37" s="3"/>
      <c r="AK37" s="3"/>
      <c r="AL37" s="3"/>
      <c r="AM37" s="3">
        <v>0</v>
      </c>
      <c r="AN37" s="3"/>
      <c r="AO37" s="3">
        <v>768777</v>
      </c>
      <c r="AP37" s="3"/>
      <c r="AQ37" s="3">
        <v>281293</v>
      </c>
      <c r="AR37" s="3"/>
      <c r="AS37" s="3">
        <v>0</v>
      </c>
      <c r="AT37" s="3"/>
      <c r="AU37" s="3">
        <v>0</v>
      </c>
      <c r="AV37" s="3"/>
      <c r="AW37" s="3"/>
      <c r="AX37" s="3"/>
      <c r="AY37" s="3">
        <v>0</v>
      </c>
      <c r="AZ37" s="3"/>
      <c r="BA37" s="3">
        <f t="shared" si="0"/>
        <v>24286086</v>
      </c>
      <c r="BB37" s="3"/>
      <c r="BC37" s="3">
        <f>+'St of Act-Rev'!AE37-BA37</f>
        <v>3388</v>
      </c>
      <c r="BD37" s="3"/>
      <c r="BE37" s="3">
        <v>17447251</v>
      </c>
      <c r="BF37" s="3"/>
      <c r="BG37" s="3">
        <f t="shared" si="1"/>
        <v>17450639</v>
      </c>
      <c r="BI37" s="3">
        <f>+'St of Net Assets'!Y37-BG37</f>
        <v>0</v>
      </c>
    </row>
    <row r="38" spans="1:61">
      <c r="A38" s="3" t="s">
        <v>369</v>
      </c>
      <c r="B38" s="13"/>
      <c r="C38" s="13" t="s">
        <v>178</v>
      </c>
      <c r="E38" s="3">
        <v>1237642</v>
      </c>
      <c r="F38" s="3"/>
      <c r="G38" s="3">
        <v>0</v>
      </c>
      <c r="H38" s="3"/>
      <c r="I38" s="3">
        <v>4518242</v>
      </c>
      <c r="J38" s="3"/>
      <c r="K38" s="3">
        <v>778966</v>
      </c>
      <c r="L38" s="3"/>
      <c r="M38" s="3">
        <v>0</v>
      </c>
      <c r="N38" s="3"/>
      <c r="O38" s="3">
        <v>1144843</v>
      </c>
      <c r="P38" s="3"/>
      <c r="Q38" s="3">
        <v>1029611</v>
      </c>
      <c r="R38" s="3"/>
      <c r="S38" s="3">
        <v>64988</v>
      </c>
      <c r="T38" s="3"/>
      <c r="U38" s="3">
        <v>780689</v>
      </c>
      <c r="V38" s="3"/>
      <c r="W38" s="3">
        <v>373827</v>
      </c>
      <c r="X38" s="3"/>
      <c r="Y38" s="3">
        <v>835</v>
      </c>
      <c r="Z38" s="3"/>
      <c r="AA38" s="3">
        <v>1155607</v>
      </c>
      <c r="AB38" s="3"/>
      <c r="AC38" s="3" t="s">
        <v>369</v>
      </c>
      <c r="AD38" s="13"/>
      <c r="AE38" s="13" t="s">
        <v>178</v>
      </c>
      <c r="AF38" s="13"/>
      <c r="AG38" s="3">
        <v>34914</v>
      </c>
      <c r="AH38" s="3"/>
      <c r="AI38" s="3">
        <v>98967</v>
      </c>
      <c r="AJ38" s="3"/>
      <c r="AK38" s="3"/>
      <c r="AL38" s="3"/>
      <c r="AM38" s="3">
        <v>304780</v>
      </c>
      <c r="AN38" s="3"/>
      <c r="AO38" s="3">
        <v>9718</v>
      </c>
      <c r="AP38" s="3"/>
      <c r="AQ38" s="3">
        <v>85149</v>
      </c>
      <c r="AR38" s="3"/>
      <c r="AS38" s="3">
        <v>713436</v>
      </c>
      <c r="AT38" s="3"/>
      <c r="AU38" s="3">
        <v>0</v>
      </c>
      <c r="AV38" s="3"/>
      <c r="AW38" s="3"/>
      <c r="AX38" s="3"/>
      <c r="AY38" s="3">
        <v>0</v>
      </c>
      <c r="AZ38" s="3"/>
      <c r="BA38" s="3">
        <f t="shared" si="0"/>
        <v>12332214</v>
      </c>
      <c r="BB38" s="3"/>
      <c r="BC38" s="3">
        <f>+'St of Act-Rev'!AE38-BA38</f>
        <v>272610</v>
      </c>
      <c r="BD38" s="3"/>
      <c r="BE38" s="3">
        <v>33856572</v>
      </c>
      <c r="BF38" s="3"/>
      <c r="BG38" s="3">
        <f t="shared" si="1"/>
        <v>34129182</v>
      </c>
      <c r="BI38" s="3">
        <f>+'St of Net Assets'!Y38-BG38</f>
        <v>0</v>
      </c>
    </row>
    <row r="39" spans="1:61">
      <c r="A39" s="3" t="s">
        <v>248</v>
      </c>
      <c r="B39" s="13"/>
      <c r="C39" s="13" t="s">
        <v>188</v>
      </c>
      <c r="E39" s="3">
        <v>1130743</v>
      </c>
      <c r="F39" s="3"/>
      <c r="G39" s="3">
        <v>0</v>
      </c>
      <c r="H39" s="3"/>
      <c r="I39" s="3">
        <v>5202104</v>
      </c>
      <c r="J39" s="3"/>
      <c r="K39" s="3">
        <v>206803</v>
      </c>
      <c r="L39" s="3"/>
      <c r="M39" s="3">
        <v>0</v>
      </c>
      <c r="N39" s="3"/>
      <c r="O39" s="3">
        <v>1105957</v>
      </c>
      <c r="P39" s="3"/>
      <c r="Q39" s="3">
        <v>535658</v>
      </c>
      <c r="R39" s="3"/>
      <c r="S39" s="3">
        <v>136816</v>
      </c>
      <c r="T39" s="3"/>
      <c r="U39" s="3">
        <v>987486</v>
      </c>
      <c r="V39" s="3"/>
      <c r="W39" s="3">
        <v>531167</v>
      </c>
      <c r="X39" s="3"/>
      <c r="Y39" s="3">
        <v>243659</v>
      </c>
      <c r="Z39" s="3"/>
      <c r="AA39" s="3">
        <v>1251510</v>
      </c>
      <c r="AB39" s="3"/>
      <c r="AC39" s="3" t="s">
        <v>248</v>
      </c>
      <c r="AD39" s="13"/>
      <c r="AE39" s="13" t="s">
        <v>188</v>
      </c>
      <c r="AF39" s="13"/>
      <c r="AG39" s="3">
        <v>15786</v>
      </c>
      <c r="AH39" s="3"/>
      <c r="AI39" s="3">
        <v>355104</v>
      </c>
      <c r="AJ39" s="3"/>
      <c r="AK39" s="3"/>
      <c r="AL39" s="3"/>
      <c r="AM39" s="3">
        <v>294964</v>
      </c>
      <c r="AN39" s="3"/>
      <c r="AO39" s="3">
        <v>53121</v>
      </c>
      <c r="AP39" s="3"/>
      <c r="AQ39" s="3">
        <v>25107</v>
      </c>
      <c r="AR39" s="3"/>
      <c r="AS39" s="3">
        <v>0</v>
      </c>
      <c r="AT39" s="3"/>
      <c r="AU39" s="3">
        <v>0</v>
      </c>
      <c r="AV39" s="3"/>
      <c r="AW39" s="3"/>
      <c r="AX39" s="3"/>
      <c r="AY39" s="3">
        <v>0</v>
      </c>
      <c r="AZ39" s="3"/>
      <c r="BA39" s="3">
        <f t="shared" si="0"/>
        <v>12075985</v>
      </c>
      <c r="BB39" s="3"/>
      <c r="BC39" s="3">
        <f>+'St of Act-Rev'!AE39-BA39</f>
        <v>1385982</v>
      </c>
      <c r="BD39" s="3"/>
      <c r="BE39" s="3">
        <v>31319735</v>
      </c>
      <c r="BF39" s="3"/>
      <c r="BG39" s="3">
        <f t="shared" si="1"/>
        <v>32705717</v>
      </c>
      <c r="BI39" s="3">
        <f>+'St of Net Assets'!Y39-BG39</f>
        <v>0</v>
      </c>
    </row>
    <row r="40" spans="1:61">
      <c r="A40" s="3" t="s">
        <v>219</v>
      </c>
      <c r="B40" s="13"/>
      <c r="C40" s="13" t="s">
        <v>180</v>
      </c>
      <c r="E40" s="3">
        <v>2706474</v>
      </c>
      <c r="F40" s="3"/>
      <c r="G40" s="3">
        <v>542780</v>
      </c>
      <c r="H40" s="3"/>
      <c r="I40" s="3">
        <v>4876565</v>
      </c>
      <c r="J40" s="3"/>
      <c r="K40" s="3">
        <v>95899</v>
      </c>
      <c r="L40" s="3"/>
      <c r="M40" s="3">
        <v>0</v>
      </c>
      <c r="N40" s="3"/>
      <c r="O40" s="3">
        <v>1684080</v>
      </c>
      <c r="P40" s="3"/>
      <c r="Q40" s="3">
        <v>540913</v>
      </c>
      <c r="R40" s="3"/>
      <c r="S40" s="3">
        <v>35459</v>
      </c>
      <c r="T40" s="3"/>
      <c r="U40" s="3">
        <v>1816305</v>
      </c>
      <c r="V40" s="3"/>
      <c r="W40" s="3">
        <v>571861</v>
      </c>
      <c r="X40" s="3"/>
      <c r="Y40" s="3">
        <v>240291</v>
      </c>
      <c r="Z40" s="3"/>
      <c r="AA40" s="3">
        <v>1495047</v>
      </c>
      <c r="AB40" s="3"/>
      <c r="AC40" s="3" t="s">
        <v>219</v>
      </c>
      <c r="AD40" s="13"/>
      <c r="AE40" s="13" t="s">
        <v>180</v>
      </c>
      <c r="AF40" s="13"/>
      <c r="AG40" s="3">
        <v>42372</v>
      </c>
      <c r="AH40" s="3"/>
      <c r="AI40" s="3">
        <v>213320</v>
      </c>
      <c r="AJ40" s="3"/>
      <c r="AK40" s="3"/>
      <c r="AL40" s="3"/>
      <c r="AM40" s="3">
        <v>0</v>
      </c>
      <c r="AN40" s="3"/>
      <c r="AO40" s="3">
        <v>69632</v>
      </c>
      <c r="AP40" s="3"/>
      <c r="AQ40" s="3">
        <v>17256</v>
      </c>
      <c r="AR40" s="3"/>
      <c r="AS40" s="3">
        <v>0</v>
      </c>
      <c r="AT40" s="3"/>
      <c r="AU40" s="3">
        <v>0</v>
      </c>
      <c r="AV40" s="3"/>
      <c r="AW40" s="3"/>
      <c r="AX40" s="3"/>
      <c r="AY40" s="3">
        <v>0</v>
      </c>
      <c r="AZ40" s="3"/>
      <c r="BA40" s="3">
        <f t="shared" si="0"/>
        <v>14948254</v>
      </c>
      <c r="BB40" s="3"/>
      <c r="BC40" s="3">
        <f>+'St of Act-Rev'!AE40-BA40</f>
        <v>1642723</v>
      </c>
      <c r="BD40" s="3"/>
      <c r="BE40" s="3">
        <v>15160676</v>
      </c>
      <c r="BF40" s="3"/>
      <c r="BG40" s="3">
        <f t="shared" si="1"/>
        <v>16803399</v>
      </c>
      <c r="BI40" s="3">
        <f>+'St of Net Assets'!Y40-BG40</f>
        <v>0</v>
      </c>
    </row>
    <row r="41" spans="1:61">
      <c r="A41" s="3" t="s">
        <v>370</v>
      </c>
      <c r="B41" s="13"/>
      <c r="C41" s="13" t="s">
        <v>183</v>
      </c>
      <c r="E41" s="3">
        <v>787864</v>
      </c>
      <c r="F41" s="3"/>
      <c r="G41" s="3">
        <v>349029</v>
      </c>
      <c r="H41" s="3"/>
      <c r="I41" s="3">
        <v>15800103</v>
      </c>
      <c r="J41" s="3"/>
      <c r="K41" s="3">
        <v>3999915</v>
      </c>
      <c r="L41" s="3"/>
      <c r="M41" s="3">
        <v>0</v>
      </c>
      <c r="N41" s="3"/>
      <c r="O41" s="3">
        <v>1699786</v>
      </c>
      <c r="P41" s="3"/>
      <c r="Q41" s="3">
        <v>1749314</v>
      </c>
      <c r="R41" s="3"/>
      <c r="S41" s="3">
        <v>0</v>
      </c>
      <c r="T41" s="3"/>
      <c r="U41" s="3">
        <f>70702+2130698</f>
        <v>2201400</v>
      </c>
      <c r="V41" s="3"/>
      <c r="W41" s="3">
        <v>854954</v>
      </c>
      <c r="X41" s="3"/>
      <c r="Y41" s="3">
        <v>437504</v>
      </c>
      <c r="Z41" s="3"/>
      <c r="AA41" s="3">
        <v>3034209</v>
      </c>
      <c r="AB41" s="3"/>
      <c r="AC41" s="3" t="s">
        <v>370</v>
      </c>
      <c r="AD41" s="13"/>
      <c r="AE41" s="13" t="s">
        <v>183</v>
      </c>
      <c r="AF41" s="13"/>
      <c r="AG41" s="3">
        <v>97744</v>
      </c>
      <c r="AH41" s="3"/>
      <c r="AI41" s="3">
        <v>2164348</v>
      </c>
      <c r="AJ41" s="3"/>
      <c r="AK41" s="3"/>
      <c r="AL41" s="3"/>
      <c r="AM41" s="3">
        <v>0</v>
      </c>
      <c r="AN41" s="3"/>
      <c r="AO41" s="3">
        <v>0</v>
      </c>
      <c r="AP41" s="3"/>
      <c r="AQ41" s="3">
        <v>91872</v>
      </c>
      <c r="AR41" s="3"/>
      <c r="AS41" s="3">
        <v>326066</v>
      </c>
      <c r="AT41" s="3"/>
      <c r="AU41" s="3">
        <v>0</v>
      </c>
      <c r="AV41" s="3"/>
      <c r="AW41" s="3"/>
      <c r="AX41" s="3"/>
      <c r="AY41" s="3">
        <v>0</v>
      </c>
      <c r="AZ41" s="3"/>
      <c r="BA41" s="3">
        <f t="shared" si="0"/>
        <v>33594108</v>
      </c>
      <c r="BB41" s="3"/>
      <c r="BC41" s="3">
        <f>+'St of Act-Rev'!AE41-BA41</f>
        <v>2016757</v>
      </c>
      <c r="BD41" s="3"/>
      <c r="BE41" s="3">
        <v>16103034</v>
      </c>
      <c r="BF41" s="3"/>
      <c r="BG41" s="3">
        <f t="shared" si="1"/>
        <v>18119791</v>
      </c>
      <c r="BI41" s="3">
        <f>+'St of Net Assets'!Y41-BG41</f>
        <v>0</v>
      </c>
    </row>
    <row r="42" spans="1:61">
      <c r="A42" s="3" t="s">
        <v>371</v>
      </c>
      <c r="B42" s="13"/>
      <c r="C42" s="13" t="s">
        <v>185</v>
      </c>
      <c r="E42" s="3">
        <v>1915410</v>
      </c>
      <c r="F42" s="3"/>
      <c r="G42" s="3">
        <v>0</v>
      </c>
      <c r="H42" s="3"/>
      <c r="I42" s="3">
        <v>6806405</v>
      </c>
      <c r="J42" s="3"/>
      <c r="K42" s="3">
        <v>2671508</v>
      </c>
      <c r="L42" s="3"/>
      <c r="M42" s="3">
        <v>0</v>
      </c>
      <c r="N42" s="3"/>
      <c r="O42" s="3">
        <v>1069409</v>
      </c>
      <c r="P42" s="3"/>
      <c r="Q42" s="3">
        <v>846370</v>
      </c>
      <c r="R42" s="3"/>
      <c r="S42" s="3">
        <v>63890</v>
      </c>
      <c r="T42" s="3"/>
      <c r="U42" s="3">
        <v>1547535</v>
      </c>
      <c r="V42" s="3"/>
      <c r="W42" s="3">
        <v>765750</v>
      </c>
      <c r="X42" s="3"/>
      <c r="Y42" s="3">
        <v>200807</v>
      </c>
      <c r="Z42" s="3"/>
      <c r="AA42" s="3">
        <v>1530231</v>
      </c>
      <c r="AB42" s="3"/>
      <c r="AC42" s="3" t="s">
        <v>371</v>
      </c>
      <c r="AD42" s="13"/>
      <c r="AE42" s="13" t="s">
        <v>185</v>
      </c>
      <c r="AF42" s="13"/>
      <c r="AG42" s="3">
        <v>121173</v>
      </c>
      <c r="AH42" s="3"/>
      <c r="AI42" s="3">
        <v>508234</v>
      </c>
      <c r="AJ42" s="3"/>
      <c r="AK42" s="3"/>
      <c r="AL42" s="3"/>
      <c r="AM42" s="3">
        <v>434720</v>
      </c>
      <c r="AN42" s="3"/>
      <c r="AO42" s="3">
        <v>575</v>
      </c>
      <c r="AP42" s="3"/>
      <c r="AQ42" s="3">
        <v>106312</v>
      </c>
      <c r="AR42" s="3"/>
      <c r="AS42" s="3">
        <v>621592</v>
      </c>
      <c r="AT42" s="3"/>
      <c r="AU42" s="3">
        <v>0</v>
      </c>
      <c r="AV42" s="3"/>
      <c r="AW42" s="3"/>
      <c r="AX42" s="3"/>
      <c r="AY42" s="3">
        <v>0</v>
      </c>
      <c r="AZ42" s="3"/>
      <c r="BA42" s="3">
        <f t="shared" si="0"/>
        <v>19209921</v>
      </c>
      <c r="BB42" s="3"/>
      <c r="BC42" s="3">
        <f>+'St of Act-Rev'!AE42-BA42</f>
        <v>4571089</v>
      </c>
      <c r="BD42" s="3"/>
      <c r="BE42" s="3">
        <v>54412084</v>
      </c>
      <c r="BF42" s="3"/>
      <c r="BG42" s="3">
        <f t="shared" si="1"/>
        <v>58983173</v>
      </c>
      <c r="BI42" s="3">
        <f>+'St of Net Assets'!Y42-BG42</f>
        <v>0</v>
      </c>
    </row>
    <row r="43" spans="1:61">
      <c r="A43" s="3" t="s">
        <v>214</v>
      </c>
      <c r="B43" s="13"/>
      <c r="C43" s="13" t="s">
        <v>176</v>
      </c>
      <c r="E43" s="3">
        <v>1380158</v>
      </c>
      <c r="F43" s="3"/>
      <c r="G43" s="3">
        <v>603998</v>
      </c>
      <c r="H43" s="3"/>
      <c r="I43" s="3">
        <v>4602353</v>
      </c>
      <c r="J43" s="3"/>
      <c r="K43" s="3">
        <v>1692916</v>
      </c>
      <c r="L43" s="3"/>
      <c r="M43" s="3">
        <v>4608</v>
      </c>
      <c r="N43" s="3"/>
      <c r="O43" s="3">
        <v>841462</v>
      </c>
      <c r="P43" s="3"/>
      <c r="Q43" s="3">
        <v>355329</v>
      </c>
      <c r="R43" s="3"/>
      <c r="S43" s="3">
        <v>0</v>
      </c>
      <c r="T43" s="3"/>
      <c r="U43" s="3">
        <f>58276+990603</f>
        <v>1048879</v>
      </c>
      <c r="V43" s="3"/>
      <c r="W43" s="3">
        <v>291796</v>
      </c>
      <c r="X43" s="3"/>
      <c r="Y43" s="3">
        <v>898228</v>
      </c>
      <c r="Z43" s="3"/>
      <c r="AA43" s="3">
        <v>1657387</v>
      </c>
      <c r="AB43" s="3"/>
      <c r="AC43" s="3" t="s">
        <v>214</v>
      </c>
      <c r="AD43" s="13"/>
      <c r="AE43" s="13" t="s">
        <v>176</v>
      </c>
      <c r="AF43" s="13"/>
      <c r="AG43" s="3">
        <v>68378</v>
      </c>
      <c r="AH43" s="3"/>
      <c r="AI43" s="3">
        <v>755516</v>
      </c>
      <c r="AJ43" s="3"/>
      <c r="AK43" s="3"/>
      <c r="AL43" s="3"/>
      <c r="AM43" s="3">
        <v>0</v>
      </c>
      <c r="AN43" s="3"/>
      <c r="AO43" s="3">
        <v>231165</v>
      </c>
      <c r="AP43" s="3"/>
      <c r="AQ43" s="3">
        <v>0</v>
      </c>
      <c r="AR43" s="3"/>
      <c r="AS43" s="3">
        <v>23440</v>
      </c>
      <c r="AT43" s="3"/>
      <c r="AU43" s="3">
        <v>0</v>
      </c>
      <c r="AV43" s="3"/>
      <c r="AW43" s="3"/>
      <c r="AX43" s="3"/>
      <c r="AY43" s="3">
        <v>0</v>
      </c>
      <c r="AZ43" s="3"/>
      <c r="BA43" s="3">
        <f t="shared" si="0"/>
        <v>14455613</v>
      </c>
      <c r="BB43" s="3"/>
      <c r="BC43" s="3">
        <f>+'St of Act-Rev'!AE43-BA43</f>
        <v>35470</v>
      </c>
      <c r="BD43" s="3"/>
      <c r="BE43" s="3">
        <v>13870116</v>
      </c>
      <c r="BF43" s="3"/>
      <c r="BG43" s="3">
        <f t="shared" si="1"/>
        <v>13905586</v>
      </c>
      <c r="BI43" s="3">
        <f>+'St of Net Assets'!Y43-BG43</f>
        <v>0</v>
      </c>
    </row>
    <row r="44" spans="1:61">
      <c r="A44" s="3" t="s">
        <v>328</v>
      </c>
      <c r="B44" s="13"/>
      <c r="C44" s="13" t="s">
        <v>206</v>
      </c>
      <c r="E44" s="3">
        <v>0</v>
      </c>
      <c r="F44" s="3"/>
      <c r="G44" s="3">
        <v>904145</v>
      </c>
      <c r="H44" s="3"/>
      <c r="I44" s="3">
        <v>16666221</v>
      </c>
      <c r="J44" s="3"/>
      <c r="K44" s="3">
        <v>1088763</v>
      </c>
      <c r="L44" s="3"/>
      <c r="M44" s="3">
        <v>569287</v>
      </c>
      <c r="N44" s="3"/>
      <c r="O44" s="3">
        <v>2627882</v>
      </c>
      <c r="P44" s="3"/>
      <c r="Q44" s="3">
        <v>2622540</v>
      </c>
      <c r="R44" s="3"/>
      <c r="S44" s="3">
        <v>92711</v>
      </c>
      <c r="T44" s="3"/>
      <c r="U44" s="3">
        <v>1083774</v>
      </c>
      <c r="V44" s="3"/>
      <c r="W44" s="3">
        <v>643123</v>
      </c>
      <c r="X44" s="3"/>
      <c r="Y44" s="3">
        <v>0</v>
      </c>
      <c r="Z44" s="3"/>
      <c r="AA44" s="3">
        <v>2788872</v>
      </c>
      <c r="AB44" s="3"/>
      <c r="AC44" s="3" t="s">
        <v>328</v>
      </c>
      <c r="AD44" s="13"/>
      <c r="AE44" s="13" t="s">
        <v>206</v>
      </c>
      <c r="AF44" s="13"/>
      <c r="AG44" s="3">
        <v>0</v>
      </c>
      <c r="AH44" s="3"/>
      <c r="AI44" s="3">
        <v>329170</v>
      </c>
      <c r="AJ44" s="3"/>
      <c r="AK44" s="3"/>
      <c r="AL44" s="3"/>
      <c r="AM44" s="3">
        <v>849553</v>
      </c>
      <c r="AN44" s="3"/>
      <c r="AO44" s="3">
        <v>203841</v>
      </c>
      <c r="AP44" s="3"/>
      <c r="AQ44" s="3">
        <v>266009</v>
      </c>
      <c r="AR44" s="3"/>
      <c r="AS44" s="3">
        <v>2117167</v>
      </c>
      <c r="AT44" s="3"/>
      <c r="AU44" s="3">
        <v>0</v>
      </c>
      <c r="AV44" s="3"/>
      <c r="AW44" s="3"/>
      <c r="AX44" s="3"/>
      <c r="AY44" s="3">
        <v>78464</v>
      </c>
      <c r="AZ44" s="3"/>
      <c r="BA44" s="3">
        <f t="shared" si="0"/>
        <v>32931522</v>
      </c>
      <c r="BB44" s="3"/>
      <c r="BC44" s="3">
        <f>+'St of Act-Rev'!AE44-BA44</f>
        <v>752464</v>
      </c>
      <c r="BD44" s="3"/>
      <c r="BE44" s="3">
        <v>54358338</v>
      </c>
      <c r="BF44" s="3"/>
      <c r="BG44" s="3">
        <f t="shared" si="1"/>
        <v>55110802</v>
      </c>
      <c r="BI44" s="3">
        <f>+'St of Net Assets'!Y44-BG44</f>
        <v>0</v>
      </c>
    </row>
    <row r="45" spans="1:61">
      <c r="A45" s="3" t="s">
        <v>372</v>
      </c>
      <c r="B45" s="13"/>
      <c r="C45" s="13" t="s">
        <v>192</v>
      </c>
      <c r="E45" s="3">
        <v>831760</v>
      </c>
      <c r="F45" s="3"/>
      <c r="G45" s="3">
        <v>0</v>
      </c>
      <c r="H45" s="3"/>
      <c r="I45" s="3">
        <v>13360293</v>
      </c>
      <c r="J45" s="3"/>
      <c r="K45" s="3">
        <v>4759</v>
      </c>
      <c r="L45" s="3"/>
      <c r="M45" s="3">
        <v>0</v>
      </c>
      <c r="N45" s="3"/>
      <c r="O45" s="3">
        <v>1407880</v>
      </c>
      <c r="P45" s="3"/>
      <c r="Q45" s="3">
        <v>1071889</v>
      </c>
      <c r="R45" s="3"/>
      <c r="S45" s="3">
        <v>57644</v>
      </c>
      <c r="T45" s="3"/>
      <c r="U45" s="3">
        <v>328402</v>
      </c>
      <c r="V45" s="3"/>
      <c r="W45" s="3">
        <v>519754</v>
      </c>
      <c r="X45" s="3"/>
      <c r="Y45" s="3">
        <v>0</v>
      </c>
      <c r="Z45" s="3"/>
      <c r="AA45" s="3">
        <v>1150465</v>
      </c>
      <c r="AB45" s="3"/>
      <c r="AC45" s="3" t="s">
        <v>372</v>
      </c>
      <c r="AD45" s="13"/>
      <c r="AE45" s="13" t="s">
        <v>192</v>
      </c>
      <c r="AF45" s="13"/>
      <c r="AG45" s="3">
        <v>25231</v>
      </c>
      <c r="AH45" s="3"/>
      <c r="AI45" s="3">
        <v>205936</v>
      </c>
      <c r="AJ45" s="3"/>
      <c r="AK45" s="3"/>
      <c r="AL45" s="3"/>
      <c r="AM45" s="3">
        <v>0</v>
      </c>
      <c r="AN45" s="3"/>
      <c r="AO45" s="3">
        <v>305454</v>
      </c>
      <c r="AP45" s="3"/>
      <c r="AQ45" s="3">
        <v>20016</v>
      </c>
      <c r="AR45" s="3"/>
      <c r="AS45" s="3">
        <v>0</v>
      </c>
      <c r="AT45" s="3"/>
      <c r="AU45" s="3">
        <v>0</v>
      </c>
      <c r="AV45" s="3"/>
      <c r="AW45" s="3"/>
      <c r="AX45" s="3"/>
      <c r="AY45" s="3">
        <v>0</v>
      </c>
      <c r="AZ45" s="3"/>
      <c r="BA45" s="3">
        <f t="shared" si="0"/>
        <v>19289483</v>
      </c>
      <c r="BB45" s="3"/>
      <c r="BC45" s="3">
        <f>+'St of Act-Rev'!AE45-BA45</f>
        <v>-305674</v>
      </c>
      <c r="BD45" s="3"/>
      <c r="BE45" s="3">
        <v>27075320</v>
      </c>
      <c r="BF45" s="3"/>
      <c r="BG45" s="3">
        <f t="shared" si="1"/>
        <v>26769646</v>
      </c>
      <c r="BI45" s="3">
        <f>+'St of Net Assets'!Y45-BG45</f>
        <v>0</v>
      </c>
    </row>
    <row r="46" spans="1:61">
      <c r="A46" s="3" t="s">
        <v>249</v>
      </c>
      <c r="B46" s="13"/>
      <c r="C46" s="13" t="s">
        <v>220</v>
      </c>
      <c r="E46" s="3">
        <v>0</v>
      </c>
      <c r="F46" s="3"/>
      <c r="G46" s="3">
        <v>137308</v>
      </c>
      <c r="H46" s="3"/>
      <c r="I46" s="3">
        <v>3802014</v>
      </c>
      <c r="J46" s="3"/>
      <c r="K46" s="3">
        <v>562623</v>
      </c>
      <c r="L46" s="3"/>
      <c r="M46" s="3">
        <v>0</v>
      </c>
      <c r="N46" s="3"/>
      <c r="O46" s="3">
        <v>317289</v>
      </c>
      <c r="P46" s="3"/>
      <c r="Q46" s="3">
        <v>436279</v>
      </c>
      <c r="R46" s="3"/>
      <c r="S46" s="3">
        <v>83071</v>
      </c>
      <c r="T46" s="3"/>
      <c r="U46" s="3">
        <v>478430</v>
      </c>
      <c r="V46" s="3"/>
      <c r="W46" s="3">
        <v>402530</v>
      </c>
      <c r="X46" s="3"/>
      <c r="Y46" s="3">
        <v>0</v>
      </c>
      <c r="Z46" s="3"/>
      <c r="AA46" s="3">
        <v>663487</v>
      </c>
      <c r="AB46" s="3"/>
      <c r="AC46" s="3" t="s">
        <v>249</v>
      </c>
      <c r="AD46" s="13"/>
      <c r="AE46" s="13" t="s">
        <v>220</v>
      </c>
      <c r="AF46" s="13"/>
      <c r="AG46" s="3">
        <v>21670</v>
      </c>
      <c r="AH46" s="3"/>
      <c r="AI46" s="3">
        <v>226912</v>
      </c>
      <c r="AJ46" s="3"/>
      <c r="AK46" s="3"/>
      <c r="AL46" s="3"/>
      <c r="AM46" s="3">
        <v>0</v>
      </c>
      <c r="AN46" s="3"/>
      <c r="AO46" s="3">
        <v>288164</v>
      </c>
      <c r="AP46" s="3"/>
      <c r="AQ46" s="3">
        <v>2795</v>
      </c>
      <c r="AR46" s="3"/>
      <c r="AS46" s="3">
        <v>175983</v>
      </c>
      <c r="AT46" s="3"/>
      <c r="AU46" s="3">
        <v>0</v>
      </c>
      <c r="AV46" s="3"/>
      <c r="AW46" s="3"/>
      <c r="AX46" s="3"/>
      <c r="AY46" s="3">
        <v>0</v>
      </c>
      <c r="AZ46" s="3"/>
      <c r="BA46" s="3">
        <f t="shared" si="0"/>
        <v>7598555</v>
      </c>
      <c r="BB46" s="3"/>
      <c r="BC46" s="3">
        <f>+'St of Act-Rev'!AE46-BA46</f>
        <v>158233</v>
      </c>
      <c r="BD46" s="3"/>
      <c r="BE46" s="3">
        <v>19096879</v>
      </c>
      <c r="BF46" s="3"/>
      <c r="BG46" s="3">
        <f t="shared" si="1"/>
        <v>19255112</v>
      </c>
      <c r="BI46" s="3">
        <f>+'St of Net Assets'!Y46-BG46</f>
        <v>0</v>
      </c>
    </row>
    <row r="47" spans="1:61">
      <c r="A47" s="3" t="s">
        <v>373</v>
      </c>
      <c r="B47" s="13"/>
      <c r="C47" s="13" t="s">
        <v>191</v>
      </c>
      <c r="E47" s="3">
        <v>909329</v>
      </c>
      <c r="F47" s="3"/>
      <c r="G47" s="3">
        <v>514192</v>
      </c>
      <c r="H47" s="3"/>
      <c r="I47" s="3">
        <v>9762663</v>
      </c>
      <c r="J47" s="3"/>
      <c r="K47" s="3">
        <v>364338</v>
      </c>
      <c r="L47" s="3"/>
      <c r="M47" s="3">
        <v>0</v>
      </c>
      <c r="N47" s="3"/>
      <c r="O47" s="3">
        <v>1181163</v>
      </c>
      <c r="P47" s="3"/>
      <c r="Q47" s="3">
        <v>1309846</v>
      </c>
      <c r="R47" s="3"/>
      <c r="S47" s="3">
        <v>86592</v>
      </c>
      <c r="T47" s="3"/>
      <c r="U47" s="3">
        <v>1097400</v>
      </c>
      <c r="V47" s="3"/>
      <c r="W47" s="3">
        <v>482924</v>
      </c>
      <c r="X47" s="3"/>
      <c r="Y47" s="3">
        <v>188764</v>
      </c>
      <c r="Z47" s="3"/>
      <c r="AA47" s="3">
        <v>1233738</v>
      </c>
      <c r="AB47" s="3"/>
      <c r="AC47" s="3" t="s">
        <v>373</v>
      </c>
      <c r="AD47" s="13"/>
      <c r="AE47" s="13" t="s">
        <v>191</v>
      </c>
      <c r="AF47" s="13"/>
      <c r="AG47" s="3">
        <v>2189</v>
      </c>
      <c r="AH47" s="3"/>
      <c r="AI47" s="3">
        <v>283390</v>
      </c>
      <c r="AJ47" s="3"/>
      <c r="AK47" s="3"/>
      <c r="AL47" s="3"/>
      <c r="AM47" s="3">
        <v>481442</v>
      </c>
      <c r="AN47" s="3"/>
      <c r="AO47" s="3">
        <v>69</v>
      </c>
      <c r="AP47" s="3"/>
      <c r="AQ47" s="3">
        <v>99979</v>
      </c>
      <c r="AR47" s="3"/>
      <c r="AS47" s="3">
        <v>582932</v>
      </c>
      <c r="AT47" s="3"/>
      <c r="AU47" s="3">
        <v>0</v>
      </c>
      <c r="AV47" s="3"/>
      <c r="AW47" s="3"/>
      <c r="AX47" s="3"/>
      <c r="AY47" s="3">
        <v>0</v>
      </c>
      <c r="AZ47" s="3"/>
      <c r="BA47" s="3">
        <f t="shared" si="0"/>
        <v>18580950</v>
      </c>
      <c r="BB47" s="3"/>
      <c r="BC47" s="3">
        <f>+'St of Act-Rev'!AE47-BA47</f>
        <v>-1093149</v>
      </c>
      <c r="BD47" s="3"/>
      <c r="BE47" s="3">
        <v>40759923</v>
      </c>
      <c r="BF47" s="3"/>
      <c r="BG47" s="3">
        <f t="shared" si="1"/>
        <v>39666774</v>
      </c>
      <c r="BI47" s="3">
        <f>+'St of Net Assets'!Y47-BG47</f>
        <v>0</v>
      </c>
    </row>
    <row r="48" spans="1:61">
      <c r="A48" s="3" t="s">
        <v>250</v>
      </c>
      <c r="B48" s="13"/>
      <c r="C48" s="13" t="s">
        <v>159</v>
      </c>
      <c r="E48" s="3">
        <v>0</v>
      </c>
      <c r="F48" s="3"/>
      <c r="G48" s="3">
        <v>0</v>
      </c>
      <c r="H48" s="3"/>
      <c r="I48" s="3">
        <v>6460712</v>
      </c>
      <c r="J48" s="3"/>
      <c r="K48" s="3">
        <v>366816</v>
      </c>
      <c r="L48" s="3"/>
      <c r="M48" s="3">
        <v>0</v>
      </c>
      <c r="N48" s="3"/>
      <c r="O48" s="3">
        <v>1760377</v>
      </c>
      <c r="P48" s="3"/>
      <c r="Q48" s="3">
        <v>1702092</v>
      </c>
      <c r="R48" s="3"/>
      <c r="S48" s="3">
        <v>115633</v>
      </c>
      <c r="T48" s="3"/>
      <c r="U48" s="3">
        <v>856677</v>
      </c>
      <c r="V48" s="3"/>
      <c r="W48" s="3">
        <v>717070</v>
      </c>
      <c r="X48" s="3"/>
      <c r="Y48" s="3">
        <v>114712</v>
      </c>
      <c r="Z48" s="3"/>
      <c r="AA48" s="3">
        <v>1548218</v>
      </c>
      <c r="AB48" s="3"/>
      <c r="AC48" s="3" t="s">
        <v>250</v>
      </c>
      <c r="AD48" s="13"/>
      <c r="AE48" s="13" t="s">
        <v>159</v>
      </c>
      <c r="AF48" s="13"/>
      <c r="AG48" s="3">
        <v>14632</v>
      </c>
      <c r="AH48" s="3"/>
      <c r="AI48" s="3">
        <v>1048868</v>
      </c>
      <c r="AJ48" s="3"/>
      <c r="AK48" s="3"/>
      <c r="AL48" s="3"/>
      <c r="AM48" s="3">
        <v>0</v>
      </c>
      <c r="AN48" s="3"/>
      <c r="AO48" s="3">
        <v>0</v>
      </c>
      <c r="AP48" s="3"/>
      <c r="AQ48" s="3">
        <v>40878</v>
      </c>
      <c r="AR48" s="3"/>
      <c r="AS48" s="3">
        <v>49562</v>
      </c>
      <c r="AT48" s="3"/>
      <c r="AU48" s="3">
        <v>0</v>
      </c>
      <c r="AV48" s="3"/>
      <c r="AW48" s="3"/>
      <c r="AX48" s="3"/>
      <c r="AY48" s="3">
        <v>0</v>
      </c>
      <c r="AZ48" s="3"/>
      <c r="BA48" s="3">
        <f t="shared" si="0"/>
        <v>14796247</v>
      </c>
      <c r="BB48" s="3"/>
      <c r="BC48" s="3">
        <f>+'St of Act-Rev'!AE48-BA48</f>
        <v>-422200</v>
      </c>
      <c r="BD48" s="3"/>
      <c r="BE48" s="3">
        <v>13272763</v>
      </c>
      <c r="BF48" s="3"/>
      <c r="BG48" s="3">
        <f t="shared" si="1"/>
        <v>12850563</v>
      </c>
      <c r="BI48" s="3">
        <f>+'St of Net Assets'!Y48-BG48</f>
        <v>0</v>
      </c>
    </row>
    <row r="49" spans="1:61">
      <c r="A49" s="3" t="s">
        <v>251</v>
      </c>
      <c r="B49" s="13"/>
      <c r="C49" s="13" t="s">
        <v>198</v>
      </c>
      <c r="E49" s="3">
        <v>409971</v>
      </c>
      <c r="F49" s="3"/>
      <c r="G49" s="3">
        <v>302125</v>
      </c>
      <c r="H49" s="3"/>
      <c r="I49" s="3">
        <v>3606061</v>
      </c>
      <c r="J49" s="3"/>
      <c r="K49" s="3">
        <v>1556146</v>
      </c>
      <c r="L49" s="3"/>
      <c r="M49" s="3">
        <v>1047</v>
      </c>
      <c r="N49" s="3"/>
      <c r="O49" s="3">
        <v>357125</v>
      </c>
      <c r="P49" s="3"/>
      <c r="Q49" s="3">
        <v>77604</v>
      </c>
      <c r="R49" s="3"/>
      <c r="S49" s="3">
        <v>25767</v>
      </c>
      <c r="T49" s="3"/>
      <c r="U49" s="3">
        <v>783699</v>
      </c>
      <c r="V49" s="3"/>
      <c r="W49" s="3">
        <v>414726</v>
      </c>
      <c r="X49" s="3"/>
      <c r="Y49" s="3">
        <v>0</v>
      </c>
      <c r="Z49" s="3"/>
      <c r="AA49" s="3">
        <v>430387</v>
      </c>
      <c r="AB49" s="3"/>
      <c r="AC49" s="3" t="s">
        <v>251</v>
      </c>
      <c r="AD49" s="13"/>
      <c r="AE49" s="13" t="s">
        <v>198</v>
      </c>
      <c r="AF49" s="13"/>
      <c r="AG49" s="3">
        <v>42617</v>
      </c>
      <c r="AH49" s="3"/>
      <c r="AI49" s="3">
        <v>100357</v>
      </c>
      <c r="AJ49" s="3"/>
      <c r="AK49" s="3"/>
      <c r="AL49" s="3"/>
      <c r="AM49" s="3">
        <v>0</v>
      </c>
      <c r="AN49" s="3"/>
      <c r="AO49" s="3">
        <v>0</v>
      </c>
      <c r="AP49" s="3"/>
      <c r="AQ49" s="3">
        <v>14289</v>
      </c>
      <c r="AR49" s="3"/>
      <c r="AS49" s="3">
        <v>0</v>
      </c>
      <c r="AT49" s="3"/>
      <c r="AU49" s="3">
        <v>0</v>
      </c>
      <c r="AV49" s="3"/>
      <c r="AW49" s="3"/>
      <c r="AX49" s="3"/>
      <c r="AY49" s="3">
        <v>0</v>
      </c>
      <c r="AZ49" s="3"/>
      <c r="BA49" s="3">
        <f t="shared" si="0"/>
        <v>8121921</v>
      </c>
      <c r="BB49" s="3"/>
      <c r="BC49" s="3">
        <f>+'St of Act-Rev'!AE49-BA49</f>
        <v>-245100</v>
      </c>
      <c r="BD49" s="3"/>
      <c r="BE49" s="3">
        <v>15926053</v>
      </c>
      <c r="BF49" s="3"/>
      <c r="BG49" s="3">
        <f t="shared" si="1"/>
        <v>15680953</v>
      </c>
      <c r="BI49" s="3">
        <f>+'St of Net Assets'!Y49-BG49</f>
        <v>0</v>
      </c>
    </row>
    <row r="50" spans="1:61">
      <c r="A50" s="3" t="s">
        <v>252</v>
      </c>
      <c r="B50" s="13"/>
      <c r="C50" s="13" t="s">
        <v>194</v>
      </c>
      <c r="E50" s="3">
        <v>0</v>
      </c>
      <c r="F50" s="3"/>
      <c r="G50" s="3">
        <v>60146</v>
      </c>
      <c r="H50" s="3"/>
      <c r="I50" s="3">
        <v>4072569</v>
      </c>
      <c r="J50" s="3"/>
      <c r="K50" s="3">
        <v>1682138</v>
      </c>
      <c r="L50" s="3"/>
      <c r="M50" s="3">
        <v>164253</v>
      </c>
      <c r="N50" s="3"/>
      <c r="O50" s="3">
        <v>458787</v>
      </c>
      <c r="P50" s="3"/>
      <c r="Q50" s="3">
        <v>461561</v>
      </c>
      <c r="R50" s="3"/>
      <c r="S50" s="3">
        <v>14796</v>
      </c>
      <c r="T50" s="3"/>
      <c r="U50" s="3">
        <v>1287163</v>
      </c>
      <c r="V50" s="3"/>
      <c r="W50" s="3">
        <v>361600</v>
      </c>
      <c r="X50" s="3"/>
      <c r="Y50" s="3">
        <v>0</v>
      </c>
      <c r="Z50" s="3"/>
      <c r="AA50" s="3">
        <v>995098</v>
      </c>
      <c r="AB50" s="3"/>
      <c r="AC50" s="3" t="s">
        <v>252</v>
      </c>
      <c r="AD50" s="13"/>
      <c r="AE50" s="13" t="s">
        <v>194</v>
      </c>
      <c r="AF50" s="13"/>
      <c r="AG50" s="3">
        <v>15585</v>
      </c>
      <c r="AH50" s="3"/>
      <c r="AI50" s="3">
        <v>183705</v>
      </c>
      <c r="AJ50" s="3"/>
      <c r="AK50" s="3"/>
      <c r="AL50" s="3"/>
      <c r="AM50" s="3">
        <v>0</v>
      </c>
      <c r="AN50" s="3"/>
      <c r="AO50" s="3">
        <v>294274</v>
      </c>
      <c r="AP50" s="3"/>
      <c r="AQ50" s="3">
        <v>23374</v>
      </c>
      <c r="AR50" s="3"/>
      <c r="AS50" s="3">
        <v>0</v>
      </c>
      <c r="AT50" s="3"/>
      <c r="AU50" s="3">
        <v>0</v>
      </c>
      <c r="AV50" s="3"/>
      <c r="AW50" s="3"/>
      <c r="AX50" s="3"/>
      <c r="AY50" s="3">
        <v>0</v>
      </c>
      <c r="AZ50" s="3"/>
      <c r="BA50" s="3">
        <f t="shared" si="0"/>
        <v>10075049</v>
      </c>
      <c r="BB50" s="3"/>
      <c r="BC50" s="3">
        <f>+'St of Act-Rev'!AE50-BA50</f>
        <v>370543</v>
      </c>
      <c r="BD50" s="3"/>
      <c r="BE50" s="3">
        <v>24997471</v>
      </c>
      <c r="BF50" s="3"/>
      <c r="BG50" s="3">
        <f t="shared" si="1"/>
        <v>25368014</v>
      </c>
      <c r="BI50" s="3">
        <f>+'St of Net Assets'!Y50-BG50</f>
        <v>0</v>
      </c>
    </row>
    <row r="51" spans="1:61">
      <c r="A51" s="3" t="s">
        <v>207</v>
      </c>
      <c r="B51" s="13"/>
      <c r="C51" s="13" t="s">
        <v>152</v>
      </c>
      <c r="E51" s="3">
        <v>152860</v>
      </c>
      <c r="F51" s="3"/>
      <c r="G51" s="3">
        <v>36354</v>
      </c>
      <c r="H51" s="3"/>
      <c r="I51" s="3">
        <v>3339083</v>
      </c>
      <c r="J51" s="3"/>
      <c r="K51" s="3">
        <v>136322</v>
      </c>
      <c r="L51" s="3"/>
      <c r="M51" s="3">
        <v>0</v>
      </c>
      <c r="N51" s="3"/>
      <c r="O51" s="3">
        <v>529312</v>
      </c>
      <c r="P51" s="3"/>
      <c r="Q51" s="3">
        <v>102743</v>
      </c>
      <c r="R51" s="3"/>
      <c r="S51" s="3">
        <v>33941</v>
      </c>
      <c r="T51" s="3"/>
      <c r="U51" s="3">
        <v>631008</v>
      </c>
      <c r="V51" s="3"/>
      <c r="W51" s="3">
        <v>372494</v>
      </c>
      <c r="X51" s="3"/>
      <c r="Y51" s="3">
        <v>4285</v>
      </c>
      <c r="Z51" s="3"/>
      <c r="AA51" s="3">
        <v>583300</v>
      </c>
      <c r="AB51" s="3"/>
      <c r="AC51" s="3" t="s">
        <v>207</v>
      </c>
      <c r="AD51" s="13"/>
      <c r="AE51" s="13" t="s">
        <v>152</v>
      </c>
      <c r="AF51" s="13"/>
      <c r="AG51" s="3">
        <v>42481</v>
      </c>
      <c r="AH51" s="3"/>
      <c r="AI51" s="3">
        <v>55466</v>
      </c>
      <c r="AJ51" s="3"/>
      <c r="AK51" s="3"/>
      <c r="AL51" s="3"/>
      <c r="AM51" s="3">
        <v>0</v>
      </c>
      <c r="AN51" s="3"/>
      <c r="AO51" s="3">
        <v>215020</v>
      </c>
      <c r="AP51" s="3"/>
      <c r="AQ51" s="3">
        <v>8879</v>
      </c>
      <c r="AR51" s="3"/>
      <c r="AS51" s="3">
        <v>26067</v>
      </c>
      <c r="AT51" s="3"/>
      <c r="AU51" s="3">
        <v>0</v>
      </c>
      <c r="AV51" s="3"/>
      <c r="AW51" s="3"/>
      <c r="AX51" s="3"/>
      <c r="AY51" s="3">
        <v>0</v>
      </c>
      <c r="AZ51" s="3"/>
      <c r="BA51" s="3">
        <f t="shared" si="0"/>
        <v>6269615</v>
      </c>
      <c r="BB51" s="3"/>
      <c r="BC51" s="3">
        <f>+'St of Act-Rev'!AE51-BA51</f>
        <v>409947</v>
      </c>
      <c r="BD51" s="3"/>
      <c r="BE51" s="3">
        <v>18133057</v>
      </c>
      <c r="BF51" s="3"/>
      <c r="BG51" s="3">
        <f t="shared" si="1"/>
        <v>18543004</v>
      </c>
      <c r="BI51" s="3">
        <f>+'St of Net Assets'!Y51-BG51</f>
        <v>0</v>
      </c>
    </row>
    <row r="52" spans="1:61">
      <c r="A52" s="3" t="s">
        <v>374</v>
      </c>
      <c r="B52" s="13"/>
      <c r="C52" s="13" t="s">
        <v>154</v>
      </c>
      <c r="E52" s="3">
        <v>0</v>
      </c>
      <c r="F52" s="3"/>
      <c r="G52" s="3">
        <v>645130</v>
      </c>
      <c r="H52" s="3"/>
      <c r="I52" s="3">
        <v>6129986</v>
      </c>
      <c r="J52" s="3"/>
      <c r="K52" s="3">
        <v>0</v>
      </c>
      <c r="L52" s="3"/>
      <c r="M52" s="3">
        <v>0</v>
      </c>
      <c r="N52" s="3"/>
      <c r="O52" s="3">
        <v>978912</v>
      </c>
      <c r="P52" s="3"/>
      <c r="Q52" s="3">
        <v>986050</v>
      </c>
      <c r="R52" s="3"/>
      <c r="S52" s="3">
        <v>43940</v>
      </c>
      <c r="T52" s="3"/>
      <c r="U52" s="3">
        <v>696123</v>
      </c>
      <c r="V52" s="3"/>
      <c r="W52" s="3">
        <v>536947</v>
      </c>
      <c r="X52" s="3"/>
      <c r="Y52" s="3">
        <v>131673</v>
      </c>
      <c r="Z52" s="3"/>
      <c r="AA52" s="3">
        <v>1285607</v>
      </c>
      <c r="AB52" s="3"/>
      <c r="AC52" s="3" t="s">
        <v>374</v>
      </c>
      <c r="AD52" s="13"/>
      <c r="AE52" s="13" t="s">
        <v>154</v>
      </c>
      <c r="AF52" s="13"/>
      <c r="AG52" s="3">
        <v>42113</v>
      </c>
      <c r="AH52" s="3"/>
      <c r="AI52" s="3">
        <v>45709</v>
      </c>
      <c r="AJ52" s="3"/>
      <c r="AK52" s="3"/>
      <c r="AL52" s="3"/>
      <c r="AM52" s="3">
        <v>263830</v>
      </c>
      <c r="AN52" s="3"/>
      <c r="AO52" s="3">
        <v>0</v>
      </c>
      <c r="AP52" s="3"/>
      <c r="AQ52" s="3">
        <v>30070</v>
      </c>
      <c r="AR52" s="3"/>
      <c r="AS52" s="3">
        <v>114692</v>
      </c>
      <c r="AT52" s="3"/>
      <c r="AU52" s="3">
        <v>0</v>
      </c>
      <c r="AV52" s="3"/>
      <c r="AW52" s="3"/>
      <c r="AX52" s="3"/>
      <c r="AY52" s="3">
        <v>0</v>
      </c>
      <c r="AZ52" s="3"/>
      <c r="BA52" s="3">
        <f t="shared" si="0"/>
        <v>11930782</v>
      </c>
      <c r="BB52" s="3"/>
      <c r="BC52" s="3">
        <f>+'St of Act-Rev'!AE52-BA52</f>
        <v>108602</v>
      </c>
      <c r="BD52" s="3"/>
      <c r="BE52" s="3">
        <v>9831550</v>
      </c>
      <c r="BF52" s="3"/>
      <c r="BG52" s="3">
        <f t="shared" si="1"/>
        <v>9940152</v>
      </c>
      <c r="BI52" s="3">
        <f>+'St of Net Assets'!Y52-BG52</f>
        <v>0</v>
      </c>
    </row>
    <row r="53" spans="1:61">
      <c r="A53" s="3" t="s">
        <v>221</v>
      </c>
      <c r="B53" s="13"/>
      <c r="C53" s="13" t="s">
        <v>197</v>
      </c>
      <c r="E53" s="3">
        <v>932967</v>
      </c>
      <c r="F53" s="3"/>
      <c r="G53" s="3">
        <v>254351</v>
      </c>
      <c r="H53" s="3"/>
      <c r="I53" s="3">
        <v>3146157</v>
      </c>
      <c r="J53" s="3"/>
      <c r="K53" s="3">
        <v>48077</v>
      </c>
      <c r="L53" s="3"/>
      <c r="M53" s="3">
        <v>156</v>
      </c>
      <c r="N53" s="3"/>
      <c r="O53" s="3">
        <v>1043195</v>
      </c>
      <c r="P53" s="3"/>
      <c r="Q53" s="3">
        <v>552293</v>
      </c>
      <c r="R53" s="3"/>
      <c r="S53" s="3">
        <v>5332</v>
      </c>
      <c r="T53" s="3"/>
      <c r="U53" s="3">
        <v>301376</v>
      </c>
      <c r="V53" s="3"/>
      <c r="W53" s="3">
        <v>251734</v>
      </c>
      <c r="X53" s="3"/>
      <c r="Y53" s="3">
        <v>38375</v>
      </c>
      <c r="Z53" s="3"/>
      <c r="AA53" s="3">
        <v>977196</v>
      </c>
      <c r="AB53" s="3"/>
      <c r="AC53" s="3" t="s">
        <v>221</v>
      </c>
      <c r="AD53" s="13"/>
      <c r="AE53" s="13" t="s">
        <v>197</v>
      </c>
      <c r="AF53" s="13"/>
      <c r="AG53" s="3">
        <v>0</v>
      </c>
      <c r="AH53" s="3"/>
      <c r="AI53" s="3">
        <v>199693</v>
      </c>
      <c r="AJ53" s="3"/>
      <c r="AK53" s="3"/>
      <c r="AL53" s="3"/>
      <c r="AM53" s="3">
        <v>299991</v>
      </c>
      <c r="AN53" s="3"/>
      <c r="AO53" s="3">
        <v>0</v>
      </c>
      <c r="AP53" s="3"/>
      <c r="AQ53" s="3">
        <v>64774</v>
      </c>
      <c r="AR53" s="3"/>
      <c r="AS53" s="3">
        <v>0</v>
      </c>
      <c r="AT53" s="3"/>
      <c r="AU53" s="3">
        <v>0</v>
      </c>
      <c r="AV53" s="3"/>
      <c r="AW53" s="3"/>
      <c r="AX53" s="3"/>
      <c r="AY53" s="3">
        <v>0</v>
      </c>
      <c r="AZ53" s="3"/>
      <c r="BA53" s="3">
        <f t="shared" si="0"/>
        <v>8115667</v>
      </c>
      <c r="BB53" s="3"/>
      <c r="BC53" s="3">
        <f>+'St of Act-Rev'!AE53-BA53</f>
        <v>-180465</v>
      </c>
      <c r="BD53" s="3"/>
      <c r="BE53" s="3">
        <v>15044141</v>
      </c>
      <c r="BF53" s="3"/>
      <c r="BG53" s="3">
        <f t="shared" si="1"/>
        <v>14863676</v>
      </c>
      <c r="BI53" s="3">
        <f>+'St of Net Assets'!Y53-BG53</f>
        <v>0</v>
      </c>
    </row>
    <row r="54" spans="1:61">
      <c r="A54" s="3" t="s">
        <v>277</v>
      </c>
      <c r="B54" s="13"/>
      <c r="C54" s="13" t="s">
        <v>216</v>
      </c>
      <c r="E54" s="3">
        <v>1689477</v>
      </c>
      <c r="F54" s="3"/>
      <c r="G54" s="3">
        <v>1192015</v>
      </c>
      <c r="H54" s="3"/>
      <c r="I54" s="3">
        <v>3810065</v>
      </c>
      <c r="J54" s="3"/>
      <c r="K54" s="3">
        <v>308207</v>
      </c>
      <c r="L54" s="3"/>
      <c r="M54" s="3">
        <v>168130</v>
      </c>
      <c r="N54" s="3"/>
      <c r="O54" s="3">
        <v>833756</v>
      </c>
      <c r="P54" s="3"/>
      <c r="Q54" s="3">
        <v>1048648</v>
      </c>
      <c r="R54" s="3"/>
      <c r="S54" s="3">
        <v>95370</v>
      </c>
      <c r="T54" s="3"/>
      <c r="U54" s="3">
        <v>972037</v>
      </c>
      <c r="V54" s="3"/>
      <c r="W54" s="3">
        <v>383331</v>
      </c>
      <c r="X54" s="3"/>
      <c r="Y54" s="3">
        <v>0</v>
      </c>
      <c r="Z54" s="3"/>
      <c r="AA54" s="3">
        <v>1410765</v>
      </c>
      <c r="AB54" s="3"/>
      <c r="AC54" s="3" t="s">
        <v>277</v>
      </c>
      <c r="AD54" s="13"/>
      <c r="AE54" s="13" t="s">
        <v>216</v>
      </c>
      <c r="AF54" s="13"/>
      <c r="AG54" s="3">
        <v>21707</v>
      </c>
      <c r="AH54" s="3"/>
      <c r="AI54" s="3">
        <v>50056</v>
      </c>
      <c r="AJ54" s="3"/>
      <c r="AK54" s="3"/>
      <c r="AL54" s="3"/>
      <c r="AM54" s="3">
        <v>0</v>
      </c>
      <c r="AN54" s="3"/>
      <c r="AO54" s="3">
        <v>325983</v>
      </c>
      <c r="AP54" s="3"/>
      <c r="AQ54" s="3">
        <v>35277</v>
      </c>
      <c r="AR54" s="3"/>
      <c r="AS54" s="3">
        <v>185777</v>
      </c>
      <c r="AT54" s="3"/>
      <c r="AU54" s="3">
        <v>0</v>
      </c>
      <c r="AV54" s="3"/>
      <c r="AW54" s="3"/>
      <c r="AX54" s="3"/>
      <c r="AY54" s="3">
        <v>0</v>
      </c>
      <c r="AZ54" s="3"/>
      <c r="BA54" s="3">
        <f t="shared" si="0"/>
        <v>12530601</v>
      </c>
      <c r="BB54" s="3"/>
      <c r="BC54" s="3">
        <f>+'St of Act-Rev'!AE54-BA54</f>
        <v>1613686</v>
      </c>
      <c r="BD54" s="3"/>
      <c r="BE54" s="3">
        <v>19681091</v>
      </c>
      <c r="BF54" s="3"/>
      <c r="BG54" s="3">
        <f t="shared" si="1"/>
        <v>21294777</v>
      </c>
      <c r="BI54" s="3">
        <f>+'St of Net Assets'!Y54-BG54</f>
        <v>0</v>
      </c>
    </row>
    <row r="55" spans="1:61">
      <c r="A55" s="3" t="s">
        <v>290</v>
      </c>
      <c r="B55" s="13"/>
      <c r="C55" s="13" t="s">
        <v>147</v>
      </c>
      <c r="E55" s="3">
        <v>384167</v>
      </c>
      <c r="F55" s="3"/>
      <c r="G55" s="3">
        <v>0</v>
      </c>
      <c r="H55" s="3"/>
      <c r="I55" s="3">
        <v>3672025</v>
      </c>
      <c r="J55" s="3"/>
      <c r="K55" s="3">
        <v>363458</v>
      </c>
      <c r="L55" s="3"/>
      <c r="M55" s="3">
        <v>0</v>
      </c>
      <c r="N55" s="3"/>
      <c r="O55" s="3">
        <v>430141</v>
      </c>
      <c r="P55" s="3"/>
      <c r="Q55" s="3">
        <v>117902</v>
      </c>
      <c r="R55" s="3"/>
      <c r="S55" s="3">
        <v>83672</v>
      </c>
      <c r="T55" s="3"/>
      <c r="U55" s="3">
        <v>790734</v>
      </c>
      <c r="V55" s="3"/>
      <c r="W55" s="3">
        <v>453008</v>
      </c>
      <c r="X55" s="3"/>
      <c r="Y55" s="3">
        <v>71295</v>
      </c>
      <c r="Z55" s="3"/>
      <c r="AA55" s="3">
        <v>1434138</v>
      </c>
      <c r="AB55" s="3"/>
      <c r="AC55" s="3" t="s">
        <v>290</v>
      </c>
      <c r="AD55" s="13"/>
      <c r="AE55" s="13" t="s">
        <v>147</v>
      </c>
      <c r="AF55" s="13"/>
      <c r="AG55" s="3">
        <v>1390</v>
      </c>
      <c r="AH55" s="3"/>
      <c r="AI55" s="3">
        <v>170713</v>
      </c>
      <c r="AJ55" s="3"/>
      <c r="AK55" s="3"/>
      <c r="AL55" s="3"/>
      <c r="AM55" s="3">
        <v>209100</v>
      </c>
      <c r="AN55" s="3"/>
      <c r="AO55" s="3">
        <v>117</v>
      </c>
      <c r="AP55" s="3"/>
      <c r="AQ55" s="3">
        <v>4073</v>
      </c>
      <c r="AR55" s="3"/>
      <c r="AS55" s="3">
        <v>0</v>
      </c>
      <c r="AT55" s="3"/>
      <c r="AU55" s="3">
        <v>25000</v>
      </c>
      <c r="AV55" s="3"/>
      <c r="AW55" s="3"/>
      <c r="AX55" s="3"/>
      <c r="AY55" s="3">
        <v>0</v>
      </c>
      <c r="AZ55" s="3"/>
      <c r="BA55" s="3">
        <f t="shared" si="0"/>
        <v>8210933</v>
      </c>
      <c r="BB55" s="3"/>
      <c r="BC55" s="3">
        <f>+'St of Act-Rev'!AE55-BA55</f>
        <v>-224726</v>
      </c>
      <c r="BD55" s="3"/>
      <c r="BE55" s="3">
        <v>4868754</v>
      </c>
      <c r="BF55" s="3"/>
      <c r="BG55" s="3">
        <f t="shared" si="1"/>
        <v>4644028</v>
      </c>
      <c r="BI55" s="3">
        <f>+'St of Net Assets'!Y55-BG55</f>
        <v>0</v>
      </c>
    </row>
    <row r="56" spans="1:61">
      <c r="A56" s="3" t="s">
        <v>217</v>
      </c>
      <c r="B56" s="13"/>
      <c r="C56" s="13" t="s">
        <v>218</v>
      </c>
      <c r="E56" s="3">
        <v>267668</v>
      </c>
      <c r="F56" s="3"/>
      <c r="G56" s="3">
        <v>0</v>
      </c>
      <c r="H56" s="3"/>
      <c r="I56" s="3">
        <v>6324356</v>
      </c>
      <c r="J56" s="3"/>
      <c r="K56" s="3">
        <v>153084</v>
      </c>
      <c r="L56" s="3"/>
      <c r="M56" s="3">
        <v>0</v>
      </c>
      <c r="N56" s="3"/>
      <c r="O56" s="3">
        <v>620076</v>
      </c>
      <c r="P56" s="3"/>
      <c r="Q56" s="3">
        <v>393966</v>
      </c>
      <c r="R56" s="3"/>
      <c r="S56" s="3">
        <v>118788</v>
      </c>
      <c r="T56" s="3"/>
      <c r="U56" s="3">
        <v>1023839</v>
      </c>
      <c r="V56" s="3"/>
      <c r="W56" s="3">
        <v>421368</v>
      </c>
      <c r="X56" s="3"/>
      <c r="Y56" s="3">
        <v>174235</v>
      </c>
      <c r="Z56" s="3"/>
      <c r="AA56" s="3">
        <v>988484</v>
      </c>
      <c r="AB56" s="3"/>
      <c r="AC56" s="3" t="s">
        <v>217</v>
      </c>
      <c r="AD56" s="13"/>
      <c r="AE56" s="13" t="s">
        <v>218</v>
      </c>
      <c r="AF56" s="13"/>
      <c r="AG56" s="3">
        <v>13247</v>
      </c>
      <c r="AH56" s="3"/>
      <c r="AI56" s="3">
        <v>1081251</v>
      </c>
      <c r="AJ56" s="3"/>
      <c r="AK56" s="3"/>
      <c r="AL56" s="3"/>
      <c r="AM56" s="3">
        <v>0</v>
      </c>
      <c r="AN56" s="3"/>
      <c r="AO56" s="3">
        <v>1108</v>
      </c>
      <c r="AP56" s="3"/>
      <c r="AQ56" s="3">
        <v>33603</v>
      </c>
      <c r="AR56" s="3"/>
      <c r="AS56" s="3">
        <v>29239</v>
      </c>
      <c r="AT56" s="3"/>
      <c r="AU56" s="3">
        <v>0</v>
      </c>
      <c r="AV56" s="3"/>
      <c r="AW56" s="3"/>
      <c r="AX56" s="3"/>
      <c r="AY56" s="3">
        <v>0</v>
      </c>
      <c r="AZ56" s="3"/>
      <c r="BA56" s="3">
        <f t="shared" si="0"/>
        <v>11644312</v>
      </c>
      <c r="BB56" s="3"/>
      <c r="BC56" s="3">
        <f>+'St of Act-Rev'!AE56-BA56</f>
        <v>-415461</v>
      </c>
      <c r="BD56" s="3"/>
      <c r="BE56" s="3">
        <v>9940611</v>
      </c>
      <c r="BF56" s="3"/>
      <c r="BG56" s="3">
        <f t="shared" si="1"/>
        <v>9525150</v>
      </c>
      <c r="BI56" s="3">
        <f>+'St of Net Assets'!Y56-BG56</f>
        <v>0</v>
      </c>
    </row>
    <row r="57" spans="1:61">
      <c r="A57" s="3" t="s">
        <v>375</v>
      </c>
      <c r="B57" s="13"/>
      <c r="C57" s="13" t="s">
        <v>199</v>
      </c>
      <c r="E57" s="3">
        <v>2037018</v>
      </c>
      <c r="F57" s="3"/>
      <c r="G57" s="3">
        <v>689132</v>
      </c>
      <c r="H57" s="3"/>
      <c r="I57" s="3">
        <v>5538495</v>
      </c>
      <c r="J57" s="3"/>
      <c r="K57" s="3">
        <v>350405</v>
      </c>
      <c r="L57" s="3"/>
      <c r="M57" s="3">
        <v>0</v>
      </c>
      <c r="N57" s="3"/>
      <c r="O57" s="3">
        <v>1433772</v>
      </c>
      <c r="P57" s="3"/>
      <c r="Q57" s="3">
        <v>373552</v>
      </c>
      <c r="R57" s="3"/>
      <c r="S57" s="3">
        <v>67082</v>
      </c>
      <c r="T57" s="3"/>
      <c r="U57" s="3">
        <v>2082748</v>
      </c>
      <c r="V57" s="3"/>
      <c r="W57" s="3">
        <v>555986</v>
      </c>
      <c r="X57" s="3"/>
      <c r="Y57" s="3">
        <v>59401</v>
      </c>
      <c r="Z57" s="3"/>
      <c r="AA57" s="3">
        <v>1164530</v>
      </c>
      <c r="AB57" s="3"/>
      <c r="AC57" s="3" t="s">
        <v>375</v>
      </c>
      <c r="AD57" s="13"/>
      <c r="AE57" s="13" t="s">
        <v>199</v>
      </c>
      <c r="AF57" s="13"/>
      <c r="AG57" s="3">
        <v>44441</v>
      </c>
      <c r="AH57" s="3"/>
      <c r="AI57" s="3">
        <v>91159</v>
      </c>
      <c r="AJ57" s="3"/>
      <c r="AK57" s="3"/>
      <c r="AL57" s="3"/>
      <c r="AM57" s="3">
        <v>416166</v>
      </c>
      <c r="AN57" s="3"/>
      <c r="AO57" s="3">
        <v>1609</v>
      </c>
      <c r="AP57" s="3"/>
      <c r="AQ57" s="3">
        <v>106004</v>
      </c>
      <c r="AR57" s="3"/>
      <c r="AS57" s="3">
        <v>272095</v>
      </c>
      <c r="AT57" s="3"/>
      <c r="AU57" s="3">
        <v>292203</v>
      </c>
      <c r="AV57" s="3"/>
      <c r="AW57" s="3"/>
      <c r="AX57" s="3"/>
      <c r="AY57" s="3">
        <v>0</v>
      </c>
      <c r="AZ57" s="3"/>
      <c r="BA57" s="3">
        <f t="shared" si="0"/>
        <v>15575798</v>
      </c>
      <c r="BB57" s="3"/>
      <c r="BC57" s="3">
        <f>+'St of Act-Rev'!AE57-BA57</f>
        <v>-1193012</v>
      </c>
      <c r="BD57" s="3"/>
      <c r="BE57" s="3">
        <v>13174983</v>
      </c>
      <c r="BF57" s="3"/>
      <c r="BG57" s="3">
        <f t="shared" si="1"/>
        <v>11981971</v>
      </c>
      <c r="BI57" s="3">
        <f>+'St of Net Assets'!Y57-BG57</f>
        <v>0</v>
      </c>
    </row>
    <row r="58" spans="1:61">
      <c r="A58" s="3" t="s">
        <v>208</v>
      </c>
      <c r="B58" s="13"/>
      <c r="C58" s="13" t="s">
        <v>156</v>
      </c>
      <c r="E58" s="3">
        <v>290372</v>
      </c>
      <c r="F58" s="3"/>
      <c r="G58" s="3">
        <v>138218</v>
      </c>
      <c r="H58" s="3"/>
      <c r="I58" s="3">
        <v>3593360</v>
      </c>
      <c r="J58" s="3"/>
      <c r="K58" s="3">
        <v>357927</v>
      </c>
      <c r="L58" s="3"/>
      <c r="M58" s="3">
        <v>0</v>
      </c>
      <c r="N58" s="3"/>
      <c r="O58" s="3">
        <v>471068</v>
      </c>
      <c r="P58" s="3"/>
      <c r="Q58" s="3">
        <v>160987</v>
      </c>
      <c r="R58" s="3"/>
      <c r="S58" s="3">
        <v>69991</v>
      </c>
      <c r="T58" s="3"/>
      <c r="U58" s="3">
        <v>424602</v>
      </c>
      <c r="V58" s="3"/>
      <c r="W58" s="3">
        <v>455064</v>
      </c>
      <c r="X58" s="3"/>
      <c r="Y58" s="3">
        <v>215</v>
      </c>
      <c r="Z58" s="3"/>
      <c r="AA58" s="3">
        <v>674008</v>
      </c>
      <c r="AB58" s="3"/>
      <c r="AC58" s="3" t="s">
        <v>208</v>
      </c>
      <c r="AD58" s="13"/>
      <c r="AE58" s="13" t="s">
        <v>156</v>
      </c>
      <c r="AF58" s="13"/>
      <c r="AG58" s="3">
        <v>0</v>
      </c>
      <c r="AH58" s="3"/>
      <c r="AI58" s="3">
        <v>102449</v>
      </c>
      <c r="AJ58" s="3"/>
      <c r="AK58" s="3"/>
      <c r="AL58" s="3"/>
      <c r="AM58" s="3">
        <v>0</v>
      </c>
      <c r="AN58" s="3"/>
      <c r="AO58" s="3">
        <v>202669</v>
      </c>
      <c r="AP58" s="3"/>
      <c r="AQ58" s="3">
        <v>45991</v>
      </c>
      <c r="AR58" s="3"/>
      <c r="AS58" s="3">
        <v>0</v>
      </c>
      <c r="AT58" s="3"/>
      <c r="AU58" s="3">
        <v>0</v>
      </c>
      <c r="AV58" s="3"/>
      <c r="AW58" s="3"/>
      <c r="AX58" s="3"/>
      <c r="AY58" s="3">
        <v>0</v>
      </c>
      <c r="AZ58" s="3"/>
      <c r="BA58" s="3">
        <f t="shared" si="0"/>
        <v>6986921</v>
      </c>
      <c r="BB58" s="3"/>
      <c r="BC58" s="3">
        <f>+'St of Act-Rev'!AE58-BA58</f>
        <v>702604</v>
      </c>
      <c r="BD58" s="3"/>
      <c r="BE58" s="3">
        <v>11915323</v>
      </c>
      <c r="BF58" s="3"/>
      <c r="BG58" s="3">
        <f t="shared" si="1"/>
        <v>12617927</v>
      </c>
      <c r="BI58" s="3">
        <f>+'St of Net Assets'!Y58-BG58</f>
        <v>0</v>
      </c>
    </row>
    <row r="59" spans="1:61">
      <c r="A59" s="3" t="s">
        <v>363</v>
      </c>
      <c r="B59" s="13"/>
      <c r="C59" s="13" t="s">
        <v>182</v>
      </c>
      <c r="E59" s="3">
        <v>1869040</v>
      </c>
      <c r="F59" s="3"/>
      <c r="G59" s="3">
        <v>489345</v>
      </c>
      <c r="H59" s="3"/>
      <c r="I59" s="3">
        <v>8152960</v>
      </c>
      <c r="J59" s="3"/>
      <c r="K59" s="3">
        <v>1363420</v>
      </c>
      <c r="L59" s="3"/>
      <c r="M59" s="3">
        <v>152172</v>
      </c>
      <c r="N59" s="3"/>
      <c r="O59" s="3">
        <v>1510522</v>
      </c>
      <c r="P59" s="3"/>
      <c r="Q59" s="3">
        <v>1049182</v>
      </c>
      <c r="R59" s="3"/>
      <c r="S59" s="3">
        <v>36078</v>
      </c>
      <c r="T59" s="3"/>
      <c r="U59" s="3">
        <v>1127858</v>
      </c>
      <c r="V59" s="3"/>
      <c r="W59" s="3">
        <v>570433</v>
      </c>
      <c r="X59" s="3"/>
      <c r="Y59" s="3">
        <v>158273</v>
      </c>
      <c r="Z59" s="3"/>
      <c r="AA59" s="3">
        <v>1573701</v>
      </c>
      <c r="AB59" s="3"/>
      <c r="AC59" s="3" t="s">
        <v>363</v>
      </c>
      <c r="AD59" s="13"/>
      <c r="AE59" s="13" t="s">
        <v>182</v>
      </c>
      <c r="AF59" s="13"/>
      <c r="AG59" s="3">
        <v>54031</v>
      </c>
      <c r="AH59" s="3"/>
      <c r="AI59" s="3">
        <v>856941</v>
      </c>
      <c r="AJ59" s="3"/>
      <c r="AK59" s="3"/>
      <c r="AL59" s="3"/>
      <c r="AM59" s="3">
        <v>0</v>
      </c>
      <c r="AN59" s="3"/>
      <c r="AO59" s="3">
        <v>976686</v>
      </c>
      <c r="AP59" s="3"/>
      <c r="AQ59" s="3">
        <v>52719</v>
      </c>
      <c r="AR59" s="3"/>
      <c r="AS59" s="3">
        <v>150499</v>
      </c>
      <c r="AT59" s="3"/>
      <c r="AU59" s="3">
        <v>0</v>
      </c>
      <c r="AV59" s="3"/>
      <c r="AW59" s="3"/>
      <c r="AX59" s="3"/>
      <c r="AY59" s="3">
        <v>0</v>
      </c>
      <c r="AZ59" s="3"/>
      <c r="BA59" s="3">
        <f t="shared" si="0"/>
        <v>20143860</v>
      </c>
      <c r="BB59" s="3"/>
      <c r="BC59" s="3">
        <f>+'St of Act-Rev'!AE59-BA59</f>
        <v>1568467</v>
      </c>
      <c r="BD59" s="3"/>
      <c r="BE59" s="3">
        <v>35503148</v>
      </c>
      <c r="BF59" s="3"/>
      <c r="BG59" s="3">
        <f t="shared" si="1"/>
        <v>37071615</v>
      </c>
      <c r="BI59" s="3">
        <f>+'St of Net Assets'!Y59-BG59</f>
        <v>0</v>
      </c>
    </row>
    <row r="60" spans="1:61">
      <c r="A60" s="3" t="s">
        <v>253</v>
      </c>
      <c r="B60" s="13"/>
      <c r="C60" s="13" t="s">
        <v>193</v>
      </c>
      <c r="E60" s="3">
        <v>190728</v>
      </c>
      <c r="F60" s="3"/>
      <c r="G60" s="3">
        <v>124761</v>
      </c>
      <c r="H60" s="3"/>
      <c r="I60" s="3">
        <v>8766620</v>
      </c>
      <c r="J60" s="3"/>
      <c r="K60" s="3">
        <v>630340</v>
      </c>
      <c r="L60" s="3"/>
      <c r="M60" s="3">
        <v>0</v>
      </c>
      <c r="N60" s="3"/>
      <c r="O60" s="3">
        <v>659077</v>
      </c>
      <c r="P60" s="3"/>
      <c r="Q60" s="3">
        <v>757604</v>
      </c>
      <c r="R60" s="3"/>
      <c r="S60" s="3">
        <v>106571</v>
      </c>
      <c r="T60" s="3"/>
      <c r="U60" s="3">
        <v>926575</v>
      </c>
      <c r="V60" s="3"/>
      <c r="W60" s="3">
        <v>541286</v>
      </c>
      <c r="X60" s="3"/>
      <c r="Y60" s="3">
        <v>0</v>
      </c>
      <c r="Z60" s="3"/>
      <c r="AA60" s="3">
        <v>1373124</v>
      </c>
      <c r="AB60" s="3"/>
      <c r="AC60" s="3" t="s">
        <v>253</v>
      </c>
      <c r="AD60" s="13"/>
      <c r="AE60" s="13" t="s">
        <v>193</v>
      </c>
      <c r="AF60" s="13"/>
      <c r="AG60" s="3">
        <v>60360</v>
      </c>
      <c r="AH60" s="3"/>
      <c r="AI60" s="3">
        <v>0</v>
      </c>
      <c r="AJ60" s="3"/>
      <c r="AK60" s="3"/>
      <c r="AL60" s="3"/>
      <c r="AM60" s="3">
        <v>172235</v>
      </c>
      <c r="AN60" s="3"/>
      <c r="AO60" s="3">
        <v>66596</v>
      </c>
      <c r="AP60" s="3"/>
      <c r="AQ60" s="3">
        <v>9366</v>
      </c>
      <c r="AR60" s="3"/>
      <c r="AS60" s="3">
        <v>120286</v>
      </c>
      <c r="AT60" s="3"/>
      <c r="AU60" s="3">
        <v>0</v>
      </c>
      <c r="AV60" s="3"/>
      <c r="AW60" s="3"/>
      <c r="AX60" s="3"/>
      <c r="AY60" s="3">
        <v>0</v>
      </c>
      <c r="AZ60" s="3"/>
      <c r="BA60" s="3">
        <f t="shared" si="0"/>
        <v>14505529</v>
      </c>
      <c r="BB60" s="3"/>
      <c r="BC60" s="3">
        <f>+'St of Act-Rev'!AE60-BA60</f>
        <v>-1092</v>
      </c>
      <c r="BD60" s="3"/>
      <c r="BE60" s="3">
        <v>46504299</v>
      </c>
      <c r="BF60" s="3"/>
      <c r="BG60" s="3">
        <f t="shared" si="1"/>
        <v>46503207</v>
      </c>
      <c r="BI60" s="3">
        <f>+'St of Net Assets'!Y60-BG60</f>
        <v>0</v>
      </c>
    </row>
    <row r="61" spans="1:61">
      <c r="A61" s="3" t="s">
        <v>254</v>
      </c>
      <c r="B61" s="13"/>
      <c r="C61" s="13" t="s">
        <v>202</v>
      </c>
      <c r="E61" s="3">
        <v>0</v>
      </c>
      <c r="F61" s="3"/>
      <c r="G61" s="3">
        <v>0</v>
      </c>
      <c r="H61" s="3"/>
      <c r="I61" s="3">
        <v>4764129</v>
      </c>
      <c r="J61" s="3"/>
      <c r="K61" s="3">
        <v>793604</v>
      </c>
      <c r="L61" s="3"/>
      <c r="M61" s="3">
        <v>0</v>
      </c>
      <c r="N61" s="3"/>
      <c r="O61" s="3">
        <v>459420</v>
      </c>
      <c r="P61" s="3"/>
      <c r="Q61" s="3">
        <v>292781</v>
      </c>
      <c r="R61" s="3"/>
      <c r="S61" s="3">
        <v>127935</v>
      </c>
      <c r="T61" s="3"/>
      <c r="U61" s="3">
        <v>475741</v>
      </c>
      <c r="V61" s="3"/>
      <c r="W61" s="3">
        <v>378409</v>
      </c>
      <c r="X61" s="3"/>
      <c r="Y61" s="3">
        <v>28380</v>
      </c>
      <c r="Z61" s="3"/>
      <c r="AA61" s="3">
        <v>633937</v>
      </c>
      <c r="AB61" s="3"/>
      <c r="AC61" s="3" t="s">
        <v>254</v>
      </c>
      <c r="AD61" s="13"/>
      <c r="AE61" s="13" t="s">
        <v>202</v>
      </c>
      <c r="AF61" s="13"/>
      <c r="AG61" s="3">
        <v>14877</v>
      </c>
      <c r="AH61" s="3"/>
      <c r="AI61" s="3">
        <v>554867</v>
      </c>
      <c r="AJ61" s="3"/>
      <c r="AK61" s="3"/>
      <c r="AL61" s="3"/>
      <c r="AM61" s="3">
        <v>268036</v>
      </c>
      <c r="AN61" s="3"/>
      <c r="AO61" s="3">
        <v>9491</v>
      </c>
      <c r="AP61" s="3"/>
      <c r="AQ61" s="3">
        <v>51260</v>
      </c>
      <c r="AR61" s="3"/>
      <c r="AS61" s="3">
        <v>886745</v>
      </c>
      <c r="AT61" s="3"/>
      <c r="AU61" s="3">
        <v>0</v>
      </c>
      <c r="AV61" s="3"/>
      <c r="AW61" s="3"/>
      <c r="AX61" s="3"/>
      <c r="AY61" s="3">
        <v>0</v>
      </c>
      <c r="AZ61" s="3"/>
      <c r="BA61" s="3">
        <f t="shared" si="0"/>
        <v>9739612</v>
      </c>
      <c r="BB61" s="3"/>
      <c r="BC61" s="3">
        <f>+'St of Act-Rev'!AE61-BA61</f>
        <v>1315974</v>
      </c>
      <c r="BD61" s="3"/>
      <c r="BE61" s="3">
        <v>28528450</v>
      </c>
      <c r="BF61" s="3"/>
      <c r="BG61" s="3">
        <f t="shared" si="1"/>
        <v>29844424</v>
      </c>
      <c r="BI61" s="3">
        <f>+'St of Net Assets'!Y61-BG61</f>
        <v>0</v>
      </c>
    </row>
    <row r="62" spans="1:61">
      <c r="A62" s="3" t="s">
        <v>360</v>
      </c>
      <c r="B62" s="13"/>
      <c r="C62" s="13" t="s">
        <v>203</v>
      </c>
      <c r="E62" s="3">
        <v>3900</v>
      </c>
      <c r="F62" s="3"/>
      <c r="G62" s="3">
        <v>172784</v>
      </c>
      <c r="H62" s="3"/>
      <c r="I62" s="3">
        <v>7887963</v>
      </c>
      <c r="J62" s="3"/>
      <c r="K62" s="3">
        <v>1727347</v>
      </c>
      <c r="L62" s="3"/>
      <c r="M62" s="3">
        <v>0</v>
      </c>
      <c r="N62" s="3"/>
      <c r="O62" s="3">
        <v>1017228</v>
      </c>
      <c r="P62" s="3"/>
      <c r="Q62" s="3">
        <v>521664</v>
      </c>
      <c r="R62" s="3"/>
      <c r="S62" s="3">
        <v>22965</v>
      </c>
      <c r="T62" s="3"/>
      <c r="U62" s="3">
        <v>1606300</v>
      </c>
      <c r="V62" s="3"/>
      <c r="W62" s="3">
        <v>543316</v>
      </c>
      <c r="X62" s="3"/>
      <c r="Y62" s="3">
        <v>29421</v>
      </c>
      <c r="Z62" s="3"/>
      <c r="AA62" s="3">
        <v>1185142</v>
      </c>
      <c r="AB62" s="3"/>
      <c r="AC62" s="3" t="s">
        <v>360</v>
      </c>
      <c r="AD62" s="13"/>
      <c r="AE62" s="13" t="s">
        <v>203</v>
      </c>
      <c r="AF62" s="13"/>
      <c r="AG62" s="3">
        <v>134211</v>
      </c>
      <c r="AH62" s="3"/>
      <c r="AI62" s="3">
        <v>1998461</v>
      </c>
      <c r="AJ62" s="3"/>
      <c r="AK62" s="3"/>
      <c r="AL62" s="3"/>
      <c r="AM62" s="3">
        <v>362357</v>
      </c>
      <c r="AN62" s="3"/>
      <c r="AO62" s="3">
        <v>14044</v>
      </c>
      <c r="AP62" s="3"/>
      <c r="AQ62" s="3">
        <v>86509</v>
      </c>
      <c r="AR62" s="3"/>
      <c r="AS62" s="3">
        <v>273651</v>
      </c>
      <c r="AT62" s="3"/>
      <c r="AU62" s="3">
        <v>0</v>
      </c>
      <c r="AV62" s="3"/>
      <c r="AW62" s="3"/>
      <c r="AX62" s="3"/>
      <c r="AY62" s="3">
        <v>0</v>
      </c>
      <c r="AZ62" s="3"/>
      <c r="BA62" s="3">
        <f t="shared" si="0"/>
        <v>17587263</v>
      </c>
      <c r="BB62" s="3"/>
      <c r="BC62" s="3">
        <f>+'St of Act-Rev'!AE62-BA62</f>
        <v>829475</v>
      </c>
      <c r="BD62" s="3"/>
      <c r="BE62" s="3">
        <v>17926815</v>
      </c>
      <c r="BF62" s="3"/>
      <c r="BG62" s="3">
        <f t="shared" si="1"/>
        <v>18756290</v>
      </c>
      <c r="BI62" s="3">
        <f>+'St of Net Assets'!Y62-BG62</f>
        <v>0</v>
      </c>
    </row>
    <row r="63" spans="1:61">
      <c r="A63" s="3" t="s">
        <v>267</v>
      </c>
      <c r="B63" s="13"/>
      <c r="C63" s="13" t="s">
        <v>204</v>
      </c>
      <c r="E63" s="3">
        <v>917951</v>
      </c>
      <c r="F63" s="3"/>
      <c r="G63" s="3">
        <v>0</v>
      </c>
      <c r="H63" s="3"/>
      <c r="I63" s="3">
        <v>2230324</v>
      </c>
      <c r="J63" s="3"/>
      <c r="K63" s="3">
        <v>195895</v>
      </c>
      <c r="L63" s="3"/>
      <c r="M63" s="3">
        <v>0</v>
      </c>
      <c r="N63" s="3"/>
      <c r="O63" s="3">
        <v>338466</v>
      </c>
      <c r="P63" s="3"/>
      <c r="Q63" s="3">
        <v>364908</v>
      </c>
      <c r="R63" s="3"/>
      <c r="S63" s="3">
        <v>16483</v>
      </c>
      <c r="T63" s="3"/>
      <c r="U63" s="3">
        <v>495857</v>
      </c>
      <c r="V63" s="3"/>
      <c r="W63" s="3">
        <v>351468</v>
      </c>
      <c r="X63" s="3"/>
      <c r="Y63" s="3">
        <v>30827</v>
      </c>
      <c r="Z63" s="3"/>
      <c r="AA63" s="3">
        <v>634808</v>
      </c>
      <c r="AB63" s="3"/>
      <c r="AC63" s="3" t="s">
        <v>267</v>
      </c>
      <c r="AD63" s="13"/>
      <c r="AE63" s="13" t="s">
        <v>204</v>
      </c>
      <c r="AF63" s="13"/>
      <c r="AG63" s="3">
        <v>8563</v>
      </c>
      <c r="AH63" s="3"/>
      <c r="AI63" s="3">
        <v>331706</v>
      </c>
      <c r="AJ63" s="3"/>
      <c r="AK63" s="3"/>
      <c r="AL63" s="3"/>
      <c r="AM63" s="3">
        <v>169213</v>
      </c>
      <c r="AN63" s="3"/>
      <c r="AO63" s="3">
        <v>591115</v>
      </c>
      <c r="AP63" s="3"/>
      <c r="AQ63" s="3">
        <v>5115</v>
      </c>
      <c r="AR63" s="3"/>
      <c r="AS63" s="3">
        <v>58288</v>
      </c>
      <c r="AT63" s="3"/>
      <c r="AU63" s="3">
        <v>0</v>
      </c>
      <c r="AV63" s="3"/>
      <c r="AW63" s="3"/>
      <c r="AX63" s="3"/>
      <c r="AY63" s="3">
        <v>0</v>
      </c>
      <c r="AZ63" s="3"/>
      <c r="BA63" s="3">
        <f t="shared" si="0"/>
        <v>6740987</v>
      </c>
      <c r="BB63" s="3"/>
      <c r="BC63" s="3">
        <f>+'St of Act-Rev'!AE63-BA63</f>
        <v>95692</v>
      </c>
      <c r="BD63" s="3"/>
      <c r="BE63" s="3">
        <v>7886042</v>
      </c>
      <c r="BF63" s="3"/>
      <c r="BG63" s="3">
        <f t="shared" si="1"/>
        <v>7981734</v>
      </c>
      <c r="BI63" s="3">
        <f>+'St of Net Assets'!Y63-BG63</f>
        <v>0</v>
      </c>
    </row>
    <row r="64" spans="1:61">
      <c r="A64" s="3" t="s">
        <v>361</v>
      </c>
      <c r="B64" s="13"/>
      <c r="C64" s="13" t="s">
        <v>205</v>
      </c>
      <c r="E64" s="3">
        <v>2061933</v>
      </c>
      <c r="F64" s="3"/>
      <c r="G64" s="3">
        <v>22062</v>
      </c>
      <c r="H64" s="3"/>
      <c r="I64" s="3">
        <v>5762659</v>
      </c>
      <c r="J64" s="3"/>
      <c r="K64" s="3">
        <v>1460139</v>
      </c>
      <c r="L64" s="3"/>
      <c r="M64" s="3">
        <v>0</v>
      </c>
      <c r="N64" s="3"/>
      <c r="O64" s="3">
        <v>612290</v>
      </c>
      <c r="P64" s="3"/>
      <c r="Q64" s="3">
        <v>1949974</v>
      </c>
      <c r="R64" s="3"/>
      <c r="S64" s="3">
        <v>60683</v>
      </c>
      <c r="T64" s="3"/>
      <c r="U64" s="3">
        <v>828807</v>
      </c>
      <c r="V64" s="3"/>
      <c r="W64" s="3">
        <v>471206</v>
      </c>
      <c r="X64" s="3"/>
      <c r="Y64" s="3">
        <v>0</v>
      </c>
      <c r="Z64" s="3"/>
      <c r="AA64" s="3">
        <v>1554870</v>
      </c>
      <c r="AB64" s="3"/>
      <c r="AC64" s="3" t="s">
        <v>361</v>
      </c>
      <c r="AD64" s="13"/>
      <c r="AE64" s="13" t="s">
        <v>205</v>
      </c>
      <c r="AF64" s="13"/>
      <c r="AG64" s="3">
        <v>12109</v>
      </c>
      <c r="AH64" s="3"/>
      <c r="AI64" s="3">
        <v>57933</v>
      </c>
      <c r="AJ64" s="3"/>
      <c r="AK64" s="3"/>
      <c r="AL64" s="3"/>
      <c r="AM64" s="3">
        <v>243336</v>
      </c>
      <c r="AN64" s="3"/>
      <c r="AO64" s="3">
        <v>538708</v>
      </c>
      <c r="AP64" s="3"/>
      <c r="AQ64" s="3">
        <v>0</v>
      </c>
      <c r="AR64" s="3"/>
      <c r="AS64" s="3">
        <v>275949</v>
      </c>
      <c r="AT64" s="3"/>
      <c r="AU64" s="3">
        <v>0</v>
      </c>
      <c r="AV64" s="3"/>
      <c r="AW64" s="3"/>
      <c r="AX64" s="3"/>
      <c r="AY64" s="3">
        <v>0</v>
      </c>
      <c r="AZ64" s="3"/>
      <c r="BA64" s="3">
        <f t="shared" si="0"/>
        <v>15912658</v>
      </c>
      <c r="BB64" s="3"/>
      <c r="BC64" s="3">
        <f>+'St of Act-Rev'!AE64-BA64</f>
        <v>837967</v>
      </c>
      <c r="BD64" s="3"/>
      <c r="BE64" s="3">
        <v>34088818</v>
      </c>
      <c r="BF64" s="3"/>
      <c r="BG64" s="3">
        <f t="shared" si="1"/>
        <v>34926785</v>
      </c>
      <c r="BI64" s="3">
        <f>+'St of Net Assets'!Y64-BG64</f>
        <v>0</v>
      </c>
    </row>
    <row r="65" spans="1:61">
      <c r="E65" s="27"/>
      <c r="F65" s="27"/>
      <c r="G65" s="27"/>
      <c r="H65" s="27"/>
      <c r="I65" s="27"/>
      <c r="J65" s="27"/>
      <c r="K65" s="23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C65" s="3"/>
      <c r="BI65" s="3"/>
    </row>
    <row r="66" spans="1:61">
      <c r="E66" s="27"/>
      <c r="F66" s="27"/>
      <c r="G66" s="27"/>
      <c r="H66" s="27"/>
      <c r="I66" s="27"/>
      <c r="J66" s="27"/>
      <c r="K66" s="23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30" t="s">
        <v>257</v>
      </c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C66" s="3"/>
      <c r="BG66" s="30" t="s">
        <v>257</v>
      </c>
      <c r="BI66" s="3"/>
    </row>
    <row r="67" spans="1:61">
      <c r="A67" s="31" t="s">
        <v>256</v>
      </c>
      <c r="B67" s="13"/>
      <c r="C67" s="13"/>
      <c r="E67" s="27"/>
      <c r="F67" s="27"/>
      <c r="G67" s="27"/>
      <c r="H67" s="27"/>
      <c r="I67" s="27"/>
      <c r="J67" s="27"/>
      <c r="K67" s="23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C67" s="31" t="s">
        <v>256</v>
      </c>
      <c r="AD67" s="13"/>
      <c r="AE67" s="13"/>
      <c r="AF67" s="13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C67" s="3"/>
      <c r="BI67" s="3"/>
    </row>
    <row r="68" spans="1:61">
      <c r="A68" s="31"/>
      <c r="B68" s="13"/>
      <c r="C68" s="13"/>
      <c r="E68" s="27"/>
      <c r="F68" s="27"/>
      <c r="G68" s="27"/>
      <c r="H68" s="27"/>
      <c r="I68" s="27"/>
      <c r="J68" s="27"/>
      <c r="K68" s="23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C68" s="31"/>
      <c r="AD68" s="13"/>
      <c r="AE68" s="13"/>
      <c r="AF68" s="13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C68" s="3"/>
      <c r="BI68" s="3"/>
    </row>
    <row r="69" spans="1:61" hidden="1">
      <c r="A69" s="3" t="s">
        <v>333</v>
      </c>
      <c r="B69" s="3"/>
      <c r="C69" s="3" t="s">
        <v>263</v>
      </c>
      <c r="E69" s="3">
        <v>0</v>
      </c>
      <c r="F69" s="3"/>
      <c r="G69" s="3">
        <v>0</v>
      </c>
      <c r="H69" s="3"/>
      <c r="I69" s="3">
        <v>0</v>
      </c>
      <c r="J69" s="3"/>
      <c r="K69" s="3">
        <v>0</v>
      </c>
      <c r="L69" s="3"/>
      <c r="M69" s="3">
        <v>0</v>
      </c>
      <c r="N69" s="3"/>
      <c r="O69" s="3">
        <v>0</v>
      </c>
      <c r="P69" s="3"/>
      <c r="Q69" s="3">
        <v>0</v>
      </c>
      <c r="R69" s="3"/>
      <c r="S69" s="3">
        <v>0</v>
      </c>
      <c r="T69" s="3"/>
      <c r="U69" s="3">
        <v>0</v>
      </c>
      <c r="V69" s="3"/>
      <c r="W69" s="3">
        <v>0</v>
      </c>
      <c r="X69" s="3"/>
      <c r="Y69" s="3">
        <v>0</v>
      </c>
      <c r="Z69" s="3"/>
      <c r="AA69" s="3">
        <v>0</v>
      </c>
      <c r="AB69" s="17"/>
      <c r="AC69" s="3" t="s">
        <v>333</v>
      </c>
      <c r="AD69" s="13"/>
      <c r="AE69" s="3" t="s">
        <v>263</v>
      </c>
      <c r="AF69" s="13"/>
      <c r="AG69" s="3">
        <v>0</v>
      </c>
      <c r="AH69" s="3"/>
      <c r="AI69" s="3">
        <v>0</v>
      </c>
      <c r="AJ69" s="3"/>
      <c r="AK69" s="3"/>
      <c r="AL69" s="3"/>
      <c r="AM69" s="3">
        <v>0</v>
      </c>
      <c r="AN69" s="3"/>
      <c r="AO69" s="3">
        <v>0</v>
      </c>
      <c r="AP69" s="3"/>
      <c r="AQ69" s="3">
        <v>0</v>
      </c>
      <c r="AR69" s="3"/>
      <c r="AS69" s="3">
        <v>0</v>
      </c>
      <c r="AT69" s="3"/>
      <c r="AU69" s="3">
        <v>0</v>
      </c>
      <c r="AV69" s="3"/>
      <c r="AW69" s="3"/>
      <c r="AX69" s="3"/>
      <c r="AY69" s="3">
        <v>0</v>
      </c>
      <c r="AZ69" s="3"/>
      <c r="BA69" s="3">
        <f>SUM(E69:AZ69)</f>
        <v>0</v>
      </c>
      <c r="BB69" s="3"/>
      <c r="BC69" s="3">
        <f>+'St of Act-Rev'!AE69-BA69</f>
        <v>0</v>
      </c>
      <c r="BD69" s="3"/>
      <c r="BE69" s="3"/>
      <c r="BF69" s="3"/>
      <c r="BG69" s="3">
        <f>+BC69+BE69</f>
        <v>0</v>
      </c>
      <c r="BH69" s="3"/>
      <c r="BI69" s="3">
        <f>+'St of Net Assets'!Y69-BG69</f>
        <v>0</v>
      </c>
    </row>
    <row r="70" spans="1:61" hidden="1">
      <c r="A70" s="3" t="s">
        <v>334</v>
      </c>
      <c r="B70" s="3"/>
      <c r="C70" s="3" t="s">
        <v>146</v>
      </c>
      <c r="E70" s="3">
        <v>0</v>
      </c>
      <c r="F70" s="3"/>
      <c r="G70" s="3">
        <v>0</v>
      </c>
      <c r="H70" s="3"/>
      <c r="I70" s="3">
        <v>0</v>
      </c>
      <c r="J70" s="3"/>
      <c r="K70" s="3">
        <v>0</v>
      </c>
      <c r="L70" s="3"/>
      <c r="M70" s="3">
        <v>0</v>
      </c>
      <c r="N70" s="3"/>
      <c r="O70" s="3">
        <v>0</v>
      </c>
      <c r="P70" s="3"/>
      <c r="Q70" s="3">
        <v>0</v>
      </c>
      <c r="R70" s="3"/>
      <c r="S70" s="3">
        <v>0</v>
      </c>
      <c r="T70" s="3"/>
      <c r="U70" s="3">
        <v>0</v>
      </c>
      <c r="V70" s="3"/>
      <c r="W70" s="3">
        <v>0</v>
      </c>
      <c r="X70" s="3"/>
      <c r="Y70" s="3">
        <v>0</v>
      </c>
      <c r="Z70" s="3"/>
      <c r="AA70" s="3">
        <v>0</v>
      </c>
      <c r="AB70" s="17"/>
      <c r="AC70" s="3" t="s">
        <v>334</v>
      </c>
      <c r="AD70" s="13"/>
      <c r="AE70" s="13" t="s">
        <v>146</v>
      </c>
      <c r="AF70" s="13"/>
      <c r="AG70" s="3">
        <v>0</v>
      </c>
      <c r="AH70" s="3"/>
      <c r="AI70" s="3">
        <v>0</v>
      </c>
      <c r="AJ70" s="3"/>
      <c r="AK70" s="3"/>
      <c r="AL70" s="3"/>
      <c r="AM70" s="3">
        <v>0</v>
      </c>
      <c r="AN70" s="3"/>
      <c r="AO70" s="3">
        <v>0</v>
      </c>
      <c r="AP70" s="3"/>
      <c r="AQ70" s="3">
        <v>0</v>
      </c>
      <c r="AR70" s="3"/>
      <c r="AS70" s="3">
        <v>0</v>
      </c>
      <c r="AT70" s="3"/>
      <c r="AU70" s="3">
        <v>0</v>
      </c>
      <c r="AV70" s="3"/>
      <c r="AW70" s="3"/>
      <c r="AX70" s="3"/>
      <c r="AY70" s="3">
        <v>0</v>
      </c>
      <c r="AZ70" s="3"/>
      <c r="BA70" s="3">
        <f>SUM(E70:AZ70)</f>
        <v>0</v>
      </c>
      <c r="BB70" s="3"/>
      <c r="BC70" s="3">
        <f>+'St of Act-Rev'!AE70-BA70</f>
        <v>0</v>
      </c>
      <c r="BD70" s="3"/>
      <c r="BE70" s="3"/>
      <c r="BF70" s="3"/>
      <c r="BG70" s="3">
        <f>+BC70+BE70</f>
        <v>0</v>
      </c>
      <c r="BH70" s="3"/>
      <c r="BI70" s="3">
        <f>+'St of Net Assets'!Y70-BG70</f>
        <v>0</v>
      </c>
    </row>
    <row r="71" spans="1:61">
      <c r="A71" s="3" t="s">
        <v>150</v>
      </c>
      <c r="B71" s="13"/>
      <c r="C71" s="13" t="s">
        <v>147</v>
      </c>
      <c r="E71" s="17">
        <v>1602199</v>
      </c>
      <c r="F71" s="17"/>
      <c r="G71" s="17">
        <v>2214664</v>
      </c>
      <c r="H71" s="17"/>
      <c r="I71" s="17">
        <v>33912</v>
      </c>
      <c r="J71" s="17"/>
      <c r="K71" s="50">
        <v>75145</v>
      </c>
      <c r="L71" s="17"/>
      <c r="M71" s="17">
        <v>22990</v>
      </c>
      <c r="N71" s="17"/>
      <c r="O71" s="17">
        <v>1137806</v>
      </c>
      <c r="P71" s="17"/>
      <c r="Q71" s="17">
        <v>1892291</v>
      </c>
      <c r="R71" s="17"/>
      <c r="S71" s="17">
        <v>92796</v>
      </c>
      <c r="T71" s="17"/>
      <c r="U71" s="17">
        <v>567282</v>
      </c>
      <c r="V71" s="17"/>
      <c r="W71" s="17">
        <v>506875</v>
      </c>
      <c r="X71" s="17"/>
      <c r="Y71" s="17">
        <v>2547</v>
      </c>
      <c r="Z71" s="17"/>
      <c r="AA71" s="17">
        <v>180955</v>
      </c>
      <c r="AB71" s="17"/>
      <c r="AC71" s="3" t="s">
        <v>150</v>
      </c>
      <c r="AD71" s="13"/>
      <c r="AE71" s="13" t="s">
        <v>147</v>
      </c>
      <c r="AF71" s="13"/>
      <c r="AG71" s="17">
        <v>600733</v>
      </c>
      <c r="AH71" s="17"/>
      <c r="AI71" s="17">
        <v>39909</v>
      </c>
      <c r="AJ71" s="17"/>
      <c r="AK71" s="17"/>
      <c r="AL71" s="17"/>
      <c r="AM71" s="17">
        <v>0</v>
      </c>
      <c r="AN71" s="17"/>
      <c r="AO71" s="17">
        <v>221933</v>
      </c>
      <c r="AP71" s="17"/>
      <c r="AQ71" s="17">
        <v>0</v>
      </c>
      <c r="AR71" s="17"/>
      <c r="AS71" s="17">
        <v>0</v>
      </c>
      <c r="AT71" s="17"/>
      <c r="AU71" s="17">
        <v>0</v>
      </c>
      <c r="AV71" s="17"/>
      <c r="AW71" s="17"/>
      <c r="AX71" s="17"/>
      <c r="AY71" s="17">
        <v>0</v>
      </c>
      <c r="AZ71" s="17"/>
      <c r="BA71" s="17">
        <f>SUM(E71:AZ71)</f>
        <v>9192037</v>
      </c>
      <c r="BB71" s="17"/>
      <c r="BC71" s="17">
        <f>+'St of Act-Rev'!AE71-BA71</f>
        <v>420562</v>
      </c>
      <c r="BD71" s="17"/>
      <c r="BE71" s="17">
        <v>3034554</v>
      </c>
      <c r="BF71" s="17"/>
      <c r="BG71" s="17">
        <f>+BC71+BE71</f>
        <v>3455116</v>
      </c>
      <c r="BH71" s="3"/>
      <c r="BI71" s="3">
        <f>+'St of Net Assets'!Y71-BG71</f>
        <v>0</v>
      </c>
    </row>
    <row r="72" spans="1:61" hidden="1">
      <c r="A72" s="3" t="s">
        <v>335</v>
      </c>
      <c r="B72" s="3"/>
      <c r="C72" s="3" t="s">
        <v>264</v>
      </c>
      <c r="E72" s="3">
        <v>0</v>
      </c>
      <c r="F72" s="3"/>
      <c r="G72" s="3">
        <v>0</v>
      </c>
      <c r="H72" s="3"/>
      <c r="I72" s="3">
        <v>0</v>
      </c>
      <c r="J72" s="3"/>
      <c r="K72" s="3">
        <v>0</v>
      </c>
      <c r="L72" s="3"/>
      <c r="M72" s="3">
        <v>0</v>
      </c>
      <c r="N72" s="3"/>
      <c r="O72" s="3">
        <v>0</v>
      </c>
      <c r="P72" s="3"/>
      <c r="Q72" s="3">
        <v>0</v>
      </c>
      <c r="R72" s="3"/>
      <c r="S72" s="3">
        <v>0</v>
      </c>
      <c r="T72" s="3"/>
      <c r="U72" s="3">
        <v>0</v>
      </c>
      <c r="V72" s="3"/>
      <c r="W72" s="3">
        <v>0</v>
      </c>
      <c r="X72" s="3"/>
      <c r="Y72" s="3">
        <v>0</v>
      </c>
      <c r="Z72" s="3"/>
      <c r="AA72" s="3">
        <v>0</v>
      </c>
      <c r="AB72" s="3"/>
      <c r="AC72" s="3" t="s">
        <v>335</v>
      </c>
      <c r="AD72" s="3"/>
      <c r="AE72" s="3" t="s">
        <v>264</v>
      </c>
      <c r="AF72" s="3"/>
      <c r="AG72" s="3">
        <v>0</v>
      </c>
      <c r="AH72" s="3"/>
      <c r="AI72" s="3">
        <v>0</v>
      </c>
      <c r="AJ72" s="3"/>
      <c r="AK72" s="3"/>
      <c r="AL72" s="3"/>
      <c r="AM72" s="3">
        <v>0</v>
      </c>
      <c r="AN72" s="3"/>
      <c r="AO72" s="3">
        <v>0</v>
      </c>
      <c r="AP72" s="3"/>
      <c r="AQ72" s="3">
        <v>0</v>
      </c>
      <c r="AR72" s="3"/>
      <c r="AS72" s="3">
        <v>0</v>
      </c>
      <c r="AT72" s="3"/>
      <c r="AU72" s="3">
        <v>0</v>
      </c>
      <c r="AV72" s="3"/>
      <c r="AW72" s="3"/>
      <c r="AX72" s="3"/>
      <c r="AY72" s="3">
        <v>0</v>
      </c>
      <c r="AZ72" s="3"/>
      <c r="BA72" s="3">
        <f>SUM(E72:AZ72)</f>
        <v>0</v>
      </c>
      <c r="BB72" s="3"/>
      <c r="BC72" s="3">
        <f>+'St of Act-Rev'!AE72-BA72</f>
        <v>0</v>
      </c>
      <c r="BD72" s="3"/>
      <c r="BE72" s="3"/>
      <c r="BF72" s="3"/>
      <c r="BG72" s="3">
        <f>+BC72+BE72</f>
        <v>0</v>
      </c>
      <c r="BH72" s="3"/>
      <c r="BI72" s="3">
        <f>+'St of Net Assets'!Y72-BG72</f>
        <v>0</v>
      </c>
    </row>
    <row r="73" spans="1:61">
      <c r="A73" s="13" t="s">
        <v>291</v>
      </c>
      <c r="B73" s="13"/>
      <c r="C73" s="13" t="s">
        <v>152</v>
      </c>
      <c r="E73" s="3">
        <v>670978</v>
      </c>
      <c r="F73" s="3"/>
      <c r="G73" s="3">
        <v>1741446</v>
      </c>
      <c r="H73" s="3"/>
      <c r="I73" s="3">
        <v>0</v>
      </c>
      <c r="J73" s="3"/>
      <c r="K73" s="23">
        <v>7155</v>
      </c>
      <c r="L73" s="3"/>
      <c r="M73" s="3">
        <v>0</v>
      </c>
      <c r="N73" s="3"/>
      <c r="O73" s="3">
        <v>1219723</v>
      </c>
      <c r="P73" s="3"/>
      <c r="Q73" s="3">
        <v>702990</v>
      </c>
      <c r="R73" s="3"/>
      <c r="S73" s="3">
        <v>29971</v>
      </c>
      <c r="T73" s="3"/>
      <c r="U73" s="3">
        <v>223021</v>
      </c>
      <c r="V73" s="3"/>
      <c r="W73" s="3">
        <v>154490</v>
      </c>
      <c r="X73" s="3"/>
      <c r="Y73" s="3">
        <v>0</v>
      </c>
      <c r="Z73" s="3"/>
      <c r="AA73" s="3">
        <v>62456</v>
      </c>
      <c r="AB73" s="3"/>
      <c r="AC73" s="13" t="s">
        <v>291</v>
      </c>
      <c r="AD73" s="13"/>
      <c r="AE73" s="13" t="s">
        <v>152</v>
      </c>
      <c r="AF73" s="13"/>
      <c r="AG73" s="3">
        <v>77</v>
      </c>
      <c r="AH73" s="3"/>
      <c r="AI73" s="3">
        <v>152649</v>
      </c>
      <c r="AJ73" s="3"/>
      <c r="AK73" s="3"/>
      <c r="AL73" s="3"/>
      <c r="AM73" s="3">
        <v>0</v>
      </c>
      <c r="AN73" s="3"/>
      <c r="AO73" s="3">
        <v>0</v>
      </c>
      <c r="AP73" s="3"/>
      <c r="AQ73" s="3">
        <v>0</v>
      </c>
      <c r="AR73" s="3"/>
      <c r="AS73" s="3">
        <v>0</v>
      </c>
      <c r="AT73" s="3"/>
      <c r="AU73" s="3">
        <v>0</v>
      </c>
      <c r="AV73" s="3"/>
      <c r="AW73" s="3"/>
      <c r="AX73" s="3"/>
      <c r="AY73" s="3">
        <v>0</v>
      </c>
      <c r="AZ73" s="3"/>
      <c r="BA73" s="3">
        <f>SUM(E73:AZ73)</f>
        <v>4964956</v>
      </c>
      <c r="BB73" s="3"/>
      <c r="BC73" s="3">
        <f>+'St of Act-Rev'!AE73-BA73</f>
        <v>-162972</v>
      </c>
      <c r="BD73" s="3"/>
      <c r="BE73" s="3">
        <v>1618991</v>
      </c>
      <c r="BF73" s="3"/>
      <c r="BG73" s="3">
        <f>+BC73+BE73</f>
        <v>1456019</v>
      </c>
      <c r="BH73" s="3"/>
      <c r="BI73" s="3">
        <f>+'St of Net Assets'!Y73-BG73</f>
        <v>0</v>
      </c>
    </row>
    <row r="74" spans="1:61">
      <c r="A74" s="13" t="s">
        <v>292</v>
      </c>
      <c r="B74" s="13"/>
      <c r="C74" s="13" t="s">
        <v>149</v>
      </c>
      <c r="E74" s="3">
        <v>467241</v>
      </c>
      <c r="F74" s="3"/>
      <c r="G74" s="3">
        <v>2358274</v>
      </c>
      <c r="H74" s="3"/>
      <c r="I74" s="3">
        <v>0</v>
      </c>
      <c r="J74" s="3"/>
      <c r="K74" s="23">
        <v>0</v>
      </c>
      <c r="L74" s="3"/>
      <c r="M74" s="3">
        <v>0</v>
      </c>
      <c r="N74" s="3"/>
      <c r="O74" s="3">
        <v>4063924</v>
      </c>
      <c r="P74" s="3"/>
      <c r="Q74" s="3">
        <v>2034933</v>
      </c>
      <c r="R74" s="3"/>
      <c r="S74" s="3">
        <v>22198</v>
      </c>
      <c r="T74" s="3"/>
      <c r="U74" s="3">
        <v>2782701</v>
      </c>
      <c r="V74" s="3"/>
      <c r="W74" s="3">
        <v>359129</v>
      </c>
      <c r="X74" s="3"/>
      <c r="Y74" s="3">
        <v>0</v>
      </c>
      <c r="Z74" s="3"/>
      <c r="AA74" s="3">
        <v>1004871</v>
      </c>
      <c r="AB74" s="3"/>
      <c r="AC74" s="13" t="s">
        <v>292</v>
      </c>
      <c r="AD74" s="13"/>
      <c r="AE74" s="13" t="s">
        <v>149</v>
      </c>
      <c r="AF74" s="13"/>
      <c r="AG74" s="3">
        <v>206083</v>
      </c>
      <c r="AH74" s="3"/>
      <c r="AI74" s="3">
        <v>2103654</v>
      </c>
      <c r="AJ74" s="3"/>
      <c r="AK74" s="3"/>
      <c r="AL74" s="3"/>
      <c r="AM74" s="3">
        <v>0</v>
      </c>
      <c r="AN74" s="3"/>
      <c r="AO74" s="3">
        <v>0</v>
      </c>
      <c r="AP74" s="3"/>
      <c r="AQ74" s="3">
        <v>0</v>
      </c>
      <c r="AR74" s="3"/>
      <c r="AS74" s="3">
        <v>120340</v>
      </c>
      <c r="AT74" s="3"/>
      <c r="AU74" s="3">
        <v>0</v>
      </c>
      <c r="AV74" s="3"/>
      <c r="AW74" s="3"/>
      <c r="AX74" s="3"/>
      <c r="AY74" s="3">
        <v>0</v>
      </c>
      <c r="AZ74" s="3"/>
      <c r="BA74" s="3">
        <f t="shared" ref="BA74:BA130" si="2">SUM(E74:AZ74)</f>
        <v>15523348</v>
      </c>
      <c r="BB74" s="3"/>
      <c r="BC74" s="3">
        <f>+'St of Act-Rev'!AE74-BA74</f>
        <v>1076758</v>
      </c>
      <c r="BD74" s="3"/>
      <c r="BE74" s="3">
        <v>3085505</v>
      </c>
      <c r="BF74" s="3"/>
      <c r="BG74" s="3">
        <f t="shared" ref="BG74:BG130" si="3">+BC74+BE74</f>
        <v>4162263</v>
      </c>
      <c r="BH74" s="3"/>
      <c r="BI74" s="3">
        <f>+'St of Net Assets'!Y74-BG74</f>
        <v>0</v>
      </c>
    </row>
    <row r="75" spans="1:61">
      <c r="A75" s="13" t="s">
        <v>293</v>
      </c>
      <c r="B75" s="13"/>
      <c r="C75" s="13" t="s">
        <v>154</v>
      </c>
      <c r="E75" s="3">
        <v>3105</v>
      </c>
      <c r="F75" s="3"/>
      <c r="G75" s="3">
        <v>1322114</v>
      </c>
      <c r="H75" s="3"/>
      <c r="I75" s="3">
        <v>0</v>
      </c>
      <c r="J75" s="3"/>
      <c r="K75" s="3">
        <v>62366</v>
      </c>
      <c r="L75" s="3"/>
      <c r="M75" s="3">
        <v>0</v>
      </c>
      <c r="N75" s="3"/>
      <c r="O75" s="3">
        <v>2447981</v>
      </c>
      <c r="P75" s="3"/>
      <c r="Q75" s="3">
        <v>1677972</v>
      </c>
      <c r="R75" s="3"/>
      <c r="S75" s="3">
        <v>17923</v>
      </c>
      <c r="T75" s="3"/>
      <c r="U75" s="3">
        <v>659712</v>
      </c>
      <c r="V75" s="3"/>
      <c r="W75" s="3">
        <v>205043</v>
      </c>
      <c r="X75" s="3"/>
      <c r="Y75" s="3">
        <v>17524</v>
      </c>
      <c r="Z75" s="3"/>
      <c r="AA75" s="3">
        <v>69999</v>
      </c>
      <c r="AB75" s="3"/>
      <c r="AC75" s="13" t="s">
        <v>293</v>
      </c>
      <c r="AD75" s="13"/>
      <c r="AE75" s="13" t="s">
        <v>154</v>
      </c>
      <c r="AF75" s="13"/>
      <c r="AG75" s="3">
        <v>0</v>
      </c>
      <c r="AH75" s="3"/>
      <c r="AI75" s="3">
        <v>38397</v>
      </c>
      <c r="AJ75" s="3"/>
      <c r="AK75" s="3"/>
      <c r="AL75" s="3"/>
      <c r="AM75" s="3">
        <v>0</v>
      </c>
      <c r="AN75" s="3"/>
      <c r="AO75" s="3">
        <v>0</v>
      </c>
      <c r="AP75" s="3"/>
      <c r="AQ75" s="3">
        <v>0</v>
      </c>
      <c r="AR75" s="3"/>
      <c r="AS75" s="3">
        <v>0</v>
      </c>
      <c r="AT75" s="3"/>
      <c r="AU75" s="3">
        <v>0</v>
      </c>
      <c r="AV75" s="3"/>
      <c r="AW75" s="3"/>
      <c r="AX75" s="3"/>
      <c r="AY75" s="3">
        <v>0</v>
      </c>
      <c r="AZ75" s="3"/>
      <c r="BA75" s="3">
        <f t="shared" si="2"/>
        <v>6522136</v>
      </c>
      <c r="BB75" s="3"/>
      <c r="BC75" s="3">
        <f>+'St of Act-Rev'!AE75-BA75</f>
        <v>242088</v>
      </c>
      <c r="BD75" s="3"/>
      <c r="BE75" s="3">
        <v>1807644</v>
      </c>
      <c r="BF75" s="3"/>
      <c r="BG75" s="3">
        <f t="shared" si="3"/>
        <v>2049732</v>
      </c>
      <c r="BH75" s="3"/>
      <c r="BI75" s="3">
        <f>+'St of Net Assets'!Y75-BG75</f>
        <v>0</v>
      </c>
    </row>
    <row r="76" spans="1:61">
      <c r="A76" s="3" t="s">
        <v>155</v>
      </c>
      <c r="B76" s="13"/>
      <c r="C76" s="13" t="s">
        <v>156</v>
      </c>
      <c r="E76" s="3">
        <v>152742</v>
      </c>
      <c r="F76" s="3"/>
      <c r="G76" s="3">
        <v>6128700</v>
      </c>
      <c r="H76" s="3"/>
      <c r="I76" s="3">
        <v>0</v>
      </c>
      <c r="J76" s="3"/>
      <c r="K76" s="3">
        <v>51622</v>
      </c>
      <c r="L76" s="3"/>
      <c r="M76" s="3">
        <v>0</v>
      </c>
      <c r="N76" s="3"/>
      <c r="O76" s="3">
        <v>4096729</v>
      </c>
      <c r="P76" s="3"/>
      <c r="Q76" s="3">
        <v>5328320</v>
      </c>
      <c r="R76" s="3"/>
      <c r="S76" s="3">
        <v>281762</v>
      </c>
      <c r="T76" s="3"/>
      <c r="U76" s="3">
        <v>403233</v>
      </c>
      <c r="V76" s="3"/>
      <c r="W76" s="3">
        <v>248738</v>
      </c>
      <c r="X76" s="3"/>
      <c r="Y76" s="3">
        <v>0</v>
      </c>
      <c r="Z76" s="3"/>
      <c r="AA76" s="3">
        <v>0</v>
      </c>
      <c r="AB76" s="3"/>
      <c r="AC76" s="3" t="s">
        <v>155</v>
      </c>
      <c r="AD76" s="13"/>
      <c r="AE76" s="13" t="s">
        <v>156</v>
      </c>
      <c r="AF76" s="13"/>
      <c r="AG76" s="3">
        <v>0</v>
      </c>
      <c r="AH76" s="3"/>
      <c r="AI76" s="3">
        <v>30056</v>
      </c>
      <c r="AJ76" s="3"/>
      <c r="AK76" s="3"/>
      <c r="AL76" s="3"/>
      <c r="AM76" s="3">
        <v>0</v>
      </c>
      <c r="AN76" s="3"/>
      <c r="AO76" s="3">
        <v>64007</v>
      </c>
      <c r="AP76" s="3"/>
      <c r="AQ76" s="3">
        <v>0</v>
      </c>
      <c r="AR76" s="3"/>
      <c r="AS76" s="3">
        <v>0</v>
      </c>
      <c r="AT76" s="3"/>
      <c r="AU76" s="3">
        <v>0</v>
      </c>
      <c r="AV76" s="3"/>
      <c r="AW76" s="3"/>
      <c r="AX76" s="3"/>
      <c r="AY76" s="3">
        <v>0</v>
      </c>
      <c r="AZ76" s="3"/>
      <c r="BA76" s="3">
        <f t="shared" si="2"/>
        <v>16785909</v>
      </c>
      <c r="BB76" s="3"/>
      <c r="BC76" s="3">
        <f>+'St of Act-Rev'!AE76-BA76</f>
        <v>192989</v>
      </c>
      <c r="BD76" s="3"/>
      <c r="BE76" s="3">
        <v>4191776</v>
      </c>
      <c r="BF76" s="3"/>
      <c r="BG76" s="3">
        <f t="shared" si="3"/>
        <v>4384765</v>
      </c>
      <c r="BH76" s="3"/>
      <c r="BI76" s="3">
        <f>+'St of Net Assets'!Y76-BG76</f>
        <v>0</v>
      </c>
    </row>
    <row r="77" spans="1:61" hidden="1">
      <c r="A77" s="13" t="s">
        <v>281</v>
      </c>
      <c r="B77" s="13"/>
      <c r="C77" s="13" t="s">
        <v>157</v>
      </c>
      <c r="E77" s="3">
        <v>0</v>
      </c>
      <c r="F77" s="3"/>
      <c r="G77" s="3">
        <v>0</v>
      </c>
      <c r="H77" s="3"/>
      <c r="I77" s="3">
        <v>0</v>
      </c>
      <c r="J77" s="3"/>
      <c r="K77" s="3">
        <v>0</v>
      </c>
      <c r="L77" s="3"/>
      <c r="M77" s="3">
        <v>0</v>
      </c>
      <c r="N77" s="3"/>
      <c r="O77" s="3">
        <v>0</v>
      </c>
      <c r="P77" s="3"/>
      <c r="Q77" s="3">
        <v>0</v>
      </c>
      <c r="R77" s="3"/>
      <c r="S77" s="3">
        <v>0</v>
      </c>
      <c r="T77" s="3"/>
      <c r="U77" s="3">
        <v>0</v>
      </c>
      <c r="V77" s="3"/>
      <c r="W77" s="3">
        <v>0</v>
      </c>
      <c r="X77" s="3"/>
      <c r="Y77" s="3">
        <v>0</v>
      </c>
      <c r="Z77" s="3"/>
      <c r="AA77" s="3">
        <v>0</v>
      </c>
      <c r="AB77" s="3"/>
      <c r="AC77" s="13" t="s">
        <v>281</v>
      </c>
      <c r="AD77" s="13"/>
      <c r="AE77" s="13" t="s">
        <v>157</v>
      </c>
      <c r="AF77" s="13"/>
      <c r="AG77" s="3">
        <v>0</v>
      </c>
      <c r="AH77" s="3"/>
      <c r="AI77" s="3">
        <v>0</v>
      </c>
      <c r="AJ77" s="3"/>
      <c r="AK77" s="3"/>
      <c r="AL77" s="3"/>
      <c r="AM77" s="3">
        <v>0</v>
      </c>
      <c r="AN77" s="3"/>
      <c r="AO77" s="3">
        <v>0</v>
      </c>
      <c r="AP77" s="3"/>
      <c r="AQ77" s="3">
        <v>0</v>
      </c>
      <c r="AR77" s="3"/>
      <c r="AS77" s="3">
        <v>0</v>
      </c>
      <c r="AT77" s="3"/>
      <c r="AU77" s="3">
        <v>0</v>
      </c>
      <c r="AV77" s="3"/>
      <c r="AW77" s="3"/>
      <c r="AX77" s="3"/>
      <c r="AY77" s="3">
        <v>0</v>
      </c>
      <c r="AZ77" s="3"/>
      <c r="BA77" s="3">
        <v>0</v>
      </c>
      <c r="BB77" s="3"/>
      <c r="BC77" s="3">
        <f>+'St of Act-Rev'!AE77-BA77</f>
        <v>0</v>
      </c>
      <c r="BD77" s="3"/>
      <c r="BE77" s="3"/>
      <c r="BF77" s="3"/>
      <c r="BG77" s="3">
        <f t="shared" si="3"/>
        <v>0</v>
      </c>
      <c r="BH77" s="3"/>
      <c r="BI77" s="3">
        <f>+'St of Net Assets'!Y77-BG77</f>
        <v>0</v>
      </c>
    </row>
    <row r="78" spans="1:61">
      <c r="A78" s="13" t="s">
        <v>310</v>
      </c>
      <c r="B78" s="13"/>
      <c r="C78" s="13" t="s">
        <v>158</v>
      </c>
      <c r="E78" s="3">
        <v>1055876</v>
      </c>
      <c r="F78" s="3"/>
      <c r="G78" s="3">
        <v>2031185</v>
      </c>
      <c r="H78" s="3"/>
      <c r="I78" s="3">
        <v>0</v>
      </c>
      <c r="J78" s="3"/>
      <c r="K78" s="3">
        <v>0</v>
      </c>
      <c r="L78" s="3"/>
      <c r="M78" s="3">
        <v>0</v>
      </c>
      <c r="N78" s="3"/>
      <c r="O78" s="3">
        <v>2330167</v>
      </c>
      <c r="P78" s="3"/>
      <c r="Q78" s="3">
        <v>3385102</v>
      </c>
      <c r="R78" s="3"/>
      <c r="S78" s="3">
        <v>50092</v>
      </c>
      <c r="T78" s="3"/>
      <c r="U78" s="3">
        <v>532904</v>
      </c>
      <c r="V78" s="3"/>
      <c r="W78" s="3">
        <v>237568</v>
      </c>
      <c r="X78" s="3"/>
      <c r="Y78" s="3">
        <v>0</v>
      </c>
      <c r="Z78" s="3"/>
      <c r="AA78" s="3">
        <v>135921</v>
      </c>
      <c r="AB78" s="3"/>
      <c r="AC78" s="13" t="s">
        <v>310</v>
      </c>
      <c r="AD78" s="13"/>
      <c r="AE78" s="13" t="s">
        <v>158</v>
      </c>
      <c r="AF78" s="13"/>
      <c r="AG78" s="3">
        <v>570441</v>
      </c>
      <c r="AH78" s="3"/>
      <c r="AI78" s="3">
        <v>358205</v>
      </c>
      <c r="AJ78" s="3"/>
      <c r="AK78" s="3"/>
      <c r="AL78" s="3"/>
      <c r="AM78" s="3">
        <v>0</v>
      </c>
      <c r="AN78" s="3"/>
      <c r="AO78" s="3">
        <v>53581</v>
      </c>
      <c r="AP78" s="3"/>
      <c r="AQ78" s="3">
        <v>0</v>
      </c>
      <c r="AR78" s="3"/>
      <c r="AS78" s="3">
        <v>27374</v>
      </c>
      <c r="AT78" s="3"/>
      <c r="AU78" s="3">
        <v>0</v>
      </c>
      <c r="AV78" s="3"/>
      <c r="AW78" s="3"/>
      <c r="AX78" s="3"/>
      <c r="AY78" s="3">
        <v>0</v>
      </c>
      <c r="AZ78" s="3"/>
      <c r="BA78" s="3">
        <f t="shared" si="2"/>
        <v>10768416</v>
      </c>
      <c r="BB78" s="3"/>
      <c r="BC78" s="3">
        <f>+'St of Act-Rev'!AE78-BA78</f>
        <v>-184145</v>
      </c>
      <c r="BD78" s="3"/>
      <c r="BE78" s="3">
        <v>365722</v>
      </c>
      <c r="BF78" s="3"/>
      <c r="BG78" s="3">
        <f t="shared" si="3"/>
        <v>181577</v>
      </c>
      <c r="BH78" s="3"/>
      <c r="BI78" s="3">
        <f>+'St of Net Assets'!Y78-BG78</f>
        <v>0</v>
      </c>
    </row>
    <row r="79" spans="1:61">
      <c r="A79" s="3" t="s">
        <v>312</v>
      </c>
      <c r="B79" s="13"/>
      <c r="C79" s="13" t="s">
        <v>159</v>
      </c>
      <c r="E79" s="3">
        <v>833752</v>
      </c>
      <c r="F79" s="3"/>
      <c r="G79" s="3">
        <v>27729919</v>
      </c>
      <c r="H79" s="3"/>
      <c r="I79" s="3">
        <v>452662</v>
      </c>
      <c r="J79" s="3"/>
      <c r="K79" s="3">
        <v>0</v>
      </c>
      <c r="L79" s="3"/>
      <c r="M79" s="3">
        <v>0</v>
      </c>
      <c r="N79" s="3"/>
      <c r="O79" s="3">
        <v>6070547</v>
      </c>
      <c r="P79" s="3"/>
      <c r="Q79" s="3">
        <v>11307951</v>
      </c>
      <c r="R79" s="3"/>
      <c r="S79" s="3">
        <v>86016</v>
      </c>
      <c r="T79" s="3"/>
      <c r="U79" s="3">
        <v>12301696</v>
      </c>
      <c r="V79" s="3"/>
      <c r="W79" s="3">
        <v>1039966</v>
      </c>
      <c r="X79" s="3"/>
      <c r="Y79" s="3">
        <v>21375</v>
      </c>
      <c r="Z79" s="3"/>
      <c r="AA79" s="3">
        <v>1048362</v>
      </c>
      <c r="AB79" s="3"/>
      <c r="AC79" s="3" t="s">
        <v>312</v>
      </c>
      <c r="AD79" s="13"/>
      <c r="AE79" s="13" t="s">
        <v>159</v>
      </c>
      <c r="AF79" s="13"/>
      <c r="AG79" s="3">
        <v>2753</v>
      </c>
      <c r="AH79" s="3"/>
      <c r="AI79" s="3">
        <v>85343</v>
      </c>
      <c r="AJ79" s="3"/>
      <c r="AK79" s="3"/>
      <c r="AL79" s="3"/>
      <c r="AM79" s="3">
        <v>0</v>
      </c>
      <c r="AN79" s="3"/>
      <c r="AO79" s="3">
        <v>6084336</v>
      </c>
      <c r="AP79" s="3"/>
      <c r="AQ79" s="3">
        <v>62195</v>
      </c>
      <c r="AR79" s="3"/>
      <c r="AS79" s="3">
        <v>400725</v>
      </c>
      <c r="AT79" s="3"/>
      <c r="AU79" s="3">
        <v>0</v>
      </c>
      <c r="AV79" s="3"/>
      <c r="AW79" s="3"/>
      <c r="AX79" s="3"/>
      <c r="AY79" s="3">
        <v>0</v>
      </c>
      <c r="AZ79" s="3"/>
      <c r="BA79" s="3">
        <f t="shared" si="2"/>
        <v>67527598</v>
      </c>
      <c r="BB79" s="3"/>
      <c r="BC79" s="3">
        <f>+'St of Act-Rev'!AE79-BA79</f>
        <v>882613</v>
      </c>
      <c r="BD79" s="3"/>
      <c r="BE79" s="3">
        <v>25198570</v>
      </c>
      <c r="BF79" s="3"/>
      <c r="BG79" s="3">
        <f t="shared" si="3"/>
        <v>26081183</v>
      </c>
      <c r="BH79" s="3"/>
      <c r="BI79" s="3">
        <f>+'St of Net Assets'!Y79-BG79</f>
        <v>0</v>
      </c>
    </row>
    <row r="80" spans="1:61" hidden="1">
      <c r="A80" s="3" t="s">
        <v>315</v>
      </c>
      <c r="B80" s="13"/>
      <c r="C80" s="13" t="s">
        <v>160</v>
      </c>
      <c r="E80" s="3">
        <v>0</v>
      </c>
      <c r="F80" s="3"/>
      <c r="G80" s="3">
        <v>0</v>
      </c>
      <c r="H80" s="3"/>
      <c r="I80" s="3">
        <v>0</v>
      </c>
      <c r="J80" s="3"/>
      <c r="K80" s="3">
        <v>0</v>
      </c>
      <c r="L80" s="3"/>
      <c r="M80" s="3">
        <v>0</v>
      </c>
      <c r="N80" s="3"/>
      <c r="O80" s="3">
        <v>0</v>
      </c>
      <c r="P80" s="3"/>
      <c r="Q80" s="3">
        <v>0</v>
      </c>
      <c r="R80" s="3"/>
      <c r="S80" s="3">
        <v>0</v>
      </c>
      <c r="T80" s="3"/>
      <c r="U80" s="3">
        <v>0</v>
      </c>
      <c r="V80" s="3"/>
      <c r="W80" s="3">
        <v>0</v>
      </c>
      <c r="X80" s="3"/>
      <c r="Y80" s="3">
        <v>0</v>
      </c>
      <c r="Z80" s="3"/>
      <c r="AA80" s="3">
        <v>0</v>
      </c>
      <c r="AB80" s="3"/>
      <c r="AC80" s="3" t="s">
        <v>315</v>
      </c>
      <c r="AD80" s="13"/>
      <c r="AE80" s="13" t="s">
        <v>160</v>
      </c>
      <c r="AF80" s="13"/>
      <c r="AG80" s="3">
        <v>0</v>
      </c>
      <c r="AH80" s="3"/>
      <c r="AI80" s="3">
        <v>0</v>
      </c>
      <c r="AJ80" s="3"/>
      <c r="AK80" s="3"/>
      <c r="AL80" s="3"/>
      <c r="AM80" s="3">
        <v>0</v>
      </c>
      <c r="AN80" s="3"/>
      <c r="AO80" s="3">
        <v>0</v>
      </c>
      <c r="AP80" s="3"/>
      <c r="AQ80" s="3">
        <v>0</v>
      </c>
      <c r="AR80" s="3"/>
      <c r="AS80" s="3">
        <v>0</v>
      </c>
      <c r="AT80" s="3"/>
      <c r="AU80" s="3">
        <v>0</v>
      </c>
      <c r="AV80" s="3"/>
      <c r="AW80" s="3"/>
      <c r="AX80" s="3"/>
      <c r="AY80" s="3">
        <v>0</v>
      </c>
      <c r="AZ80" s="3"/>
      <c r="BA80" s="3">
        <f t="shared" si="2"/>
        <v>0</v>
      </c>
      <c r="BB80" s="3"/>
      <c r="BC80" s="3">
        <f>+'St of Act-Rev'!AE80-BA80</f>
        <v>0</v>
      </c>
      <c r="BD80" s="3"/>
      <c r="BE80" s="3"/>
      <c r="BF80" s="3"/>
      <c r="BG80" s="3">
        <f t="shared" si="3"/>
        <v>0</v>
      </c>
      <c r="BH80" s="3"/>
      <c r="BI80" s="3">
        <f>+'St of Net Assets'!Y80-BG80</f>
        <v>0</v>
      </c>
    </row>
    <row r="81" spans="1:61" hidden="1">
      <c r="A81" s="3" t="s">
        <v>311</v>
      </c>
      <c r="B81" s="13"/>
      <c r="C81" s="13" t="s">
        <v>161</v>
      </c>
      <c r="E81" s="3">
        <v>0</v>
      </c>
      <c r="F81" s="3"/>
      <c r="G81" s="3">
        <v>0</v>
      </c>
      <c r="H81" s="3"/>
      <c r="I81" s="3">
        <v>0</v>
      </c>
      <c r="J81" s="3"/>
      <c r="K81" s="3">
        <v>0</v>
      </c>
      <c r="L81" s="3"/>
      <c r="M81" s="3">
        <v>0</v>
      </c>
      <c r="N81" s="3"/>
      <c r="O81" s="3">
        <v>0</v>
      </c>
      <c r="P81" s="3"/>
      <c r="Q81" s="3">
        <v>0</v>
      </c>
      <c r="R81" s="3"/>
      <c r="S81" s="3">
        <v>0</v>
      </c>
      <c r="T81" s="3"/>
      <c r="U81" s="3">
        <v>0</v>
      </c>
      <c r="V81" s="3"/>
      <c r="W81" s="3">
        <v>0</v>
      </c>
      <c r="X81" s="3"/>
      <c r="Y81" s="3">
        <v>0</v>
      </c>
      <c r="Z81" s="3"/>
      <c r="AA81" s="3">
        <v>0</v>
      </c>
      <c r="AB81" s="3"/>
      <c r="AC81" s="3" t="s">
        <v>311</v>
      </c>
      <c r="AD81" s="13"/>
      <c r="AE81" s="13" t="s">
        <v>161</v>
      </c>
      <c r="AF81" s="13"/>
      <c r="AG81" s="3">
        <v>0</v>
      </c>
      <c r="AH81" s="3"/>
      <c r="AI81" s="3">
        <v>0</v>
      </c>
      <c r="AJ81" s="3"/>
      <c r="AK81" s="3"/>
      <c r="AL81" s="3"/>
      <c r="AM81" s="3">
        <v>0</v>
      </c>
      <c r="AN81" s="3"/>
      <c r="AO81" s="3">
        <v>0</v>
      </c>
      <c r="AP81" s="3"/>
      <c r="AQ81" s="3">
        <v>0</v>
      </c>
      <c r="AR81" s="3"/>
      <c r="AS81" s="3">
        <v>0</v>
      </c>
      <c r="AT81" s="3"/>
      <c r="AU81" s="3">
        <v>0</v>
      </c>
      <c r="AV81" s="3"/>
      <c r="AW81" s="3"/>
      <c r="AX81" s="3"/>
      <c r="AY81" s="3">
        <v>0</v>
      </c>
      <c r="AZ81" s="3"/>
      <c r="BA81" s="3">
        <f t="shared" si="2"/>
        <v>0</v>
      </c>
      <c r="BB81" s="3"/>
      <c r="BC81" s="3">
        <f>+'St of Act-Rev'!AE81-BA81</f>
        <v>0</v>
      </c>
      <c r="BD81" s="3"/>
      <c r="BE81" s="3"/>
      <c r="BF81" s="3"/>
      <c r="BG81" s="3">
        <f t="shared" si="3"/>
        <v>0</v>
      </c>
      <c r="BH81" s="3"/>
      <c r="BI81" s="3">
        <f>+'St of Net Assets'!Y81-BG81</f>
        <v>0</v>
      </c>
    </row>
    <row r="82" spans="1:61">
      <c r="A82" s="3" t="s">
        <v>309</v>
      </c>
      <c r="B82" s="13"/>
      <c r="C82" s="3" t="s">
        <v>200</v>
      </c>
      <c r="E82" s="3">
        <v>809498</v>
      </c>
      <c r="F82" s="3"/>
      <c r="G82" s="3">
        <v>1374099</v>
      </c>
      <c r="H82" s="3"/>
      <c r="I82" s="3">
        <v>12617</v>
      </c>
      <c r="J82" s="3"/>
      <c r="K82" s="3">
        <v>0</v>
      </c>
      <c r="L82" s="3"/>
      <c r="M82" s="3">
        <v>554759</v>
      </c>
      <c r="N82" s="3"/>
      <c r="O82" s="3">
        <v>2412392</v>
      </c>
      <c r="P82" s="3"/>
      <c r="Q82" s="3">
        <v>3011618</v>
      </c>
      <c r="R82" s="3"/>
      <c r="S82" s="3">
        <v>26694</v>
      </c>
      <c r="T82" s="3"/>
      <c r="U82" s="3">
        <v>428337</v>
      </c>
      <c r="V82" s="3"/>
      <c r="W82" s="3">
        <v>257123</v>
      </c>
      <c r="X82" s="3"/>
      <c r="Y82" s="3">
        <v>140733</v>
      </c>
      <c r="Z82" s="3"/>
      <c r="AA82" s="3">
        <v>179287</v>
      </c>
      <c r="AB82" s="3"/>
      <c r="AC82" s="3" t="s">
        <v>309</v>
      </c>
      <c r="AD82" s="13"/>
      <c r="AE82" s="3" t="s">
        <v>200</v>
      </c>
      <c r="AF82" s="13"/>
      <c r="AG82" s="3">
        <v>13879</v>
      </c>
      <c r="AH82" s="3"/>
      <c r="AI82" s="3">
        <v>378837</v>
      </c>
      <c r="AJ82" s="3"/>
      <c r="AK82" s="3"/>
      <c r="AL82" s="3"/>
      <c r="AM82" s="3">
        <v>0</v>
      </c>
      <c r="AN82" s="3"/>
      <c r="AO82" s="3">
        <v>0</v>
      </c>
      <c r="AP82" s="3"/>
      <c r="AQ82" s="3">
        <v>0</v>
      </c>
      <c r="AR82" s="3"/>
      <c r="AS82" s="3">
        <v>24352</v>
      </c>
      <c r="AT82" s="3"/>
      <c r="AU82" s="3">
        <v>0</v>
      </c>
      <c r="AV82" s="3"/>
      <c r="AW82" s="3"/>
      <c r="AX82" s="3"/>
      <c r="AY82" s="3">
        <v>0</v>
      </c>
      <c r="AZ82" s="3"/>
      <c r="BA82" s="3">
        <f t="shared" si="2"/>
        <v>9624225</v>
      </c>
      <c r="BB82" s="3"/>
      <c r="BC82" s="3">
        <f>+'St of Act-Rev'!AE82-BA82</f>
        <v>193983</v>
      </c>
      <c r="BD82" s="3"/>
      <c r="BE82" s="3">
        <v>2117246</v>
      </c>
      <c r="BF82" s="3"/>
      <c r="BG82" s="3">
        <f t="shared" si="3"/>
        <v>2311229</v>
      </c>
      <c r="BH82" s="3"/>
      <c r="BI82" s="3">
        <f>+'St of Net Assets'!Y82-BG82</f>
        <v>0</v>
      </c>
    </row>
    <row r="83" spans="1:61">
      <c r="A83" s="3" t="s">
        <v>318</v>
      </c>
      <c r="B83" s="13"/>
      <c r="C83" s="13" t="s">
        <v>164</v>
      </c>
      <c r="E83" s="3">
        <v>789238</v>
      </c>
      <c r="F83" s="3"/>
      <c r="G83" s="3">
        <v>10603378</v>
      </c>
      <c r="H83" s="3"/>
      <c r="I83" s="3">
        <v>0</v>
      </c>
      <c r="J83" s="3"/>
      <c r="K83" s="3">
        <v>0</v>
      </c>
      <c r="L83" s="3"/>
      <c r="M83" s="3">
        <v>56868</v>
      </c>
      <c r="N83" s="3"/>
      <c r="O83" s="3">
        <v>8511786</v>
      </c>
      <c r="P83" s="3"/>
      <c r="Q83" s="3">
        <v>11766000</v>
      </c>
      <c r="R83" s="3"/>
      <c r="S83" s="3">
        <v>70637</v>
      </c>
      <c r="T83" s="3"/>
      <c r="U83" s="3">
        <v>9555426</v>
      </c>
      <c r="V83" s="3"/>
      <c r="W83" s="3">
        <v>1991345</v>
      </c>
      <c r="X83" s="3"/>
      <c r="Y83" s="3">
        <v>529099</v>
      </c>
      <c r="Z83" s="3"/>
      <c r="AA83" s="3">
        <v>1414914</v>
      </c>
      <c r="AB83" s="3"/>
      <c r="AC83" s="3" t="s">
        <v>318</v>
      </c>
      <c r="AD83" s="13"/>
      <c r="AE83" s="13" t="s">
        <v>164</v>
      </c>
      <c r="AF83" s="13"/>
      <c r="AG83" s="3">
        <v>186946</v>
      </c>
      <c r="AH83" s="3"/>
      <c r="AI83" s="3">
        <v>21020110</v>
      </c>
      <c r="AJ83" s="3"/>
      <c r="AK83" s="3"/>
      <c r="AL83" s="3"/>
      <c r="AM83" s="3">
        <v>0</v>
      </c>
      <c r="AN83" s="3"/>
      <c r="AO83" s="3">
        <v>70627</v>
      </c>
      <c r="AP83" s="3"/>
      <c r="AQ83" s="3">
        <v>99795</v>
      </c>
      <c r="AR83" s="3"/>
      <c r="AS83" s="3">
        <v>125575</v>
      </c>
      <c r="AT83" s="3"/>
      <c r="AU83" s="3">
        <v>0</v>
      </c>
      <c r="AV83" s="3"/>
      <c r="AW83" s="3"/>
      <c r="AX83" s="3"/>
      <c r="AY83" s="3">
        <v>0</v>
      </c>
      <c r="AZ83" s="3"/>
      <c r="BA83" s="3">
        <f>SUM(E83:AZ83)</f>
        <v>66791744</v>
      </c>
      <c r="BB83" s="3"/>
      <c r="BC83" s="3">
        <f>+'St of Act-Rev'!AE83-BA83</f>
        <v>-1297567</v>
      </c>
      <c r="BD83" s="3"/>
      <c r="BE83" s="3">
        <v>16536908</v>
      </c>
      <c r="BF83" s="3"/>
      <c r="BG83" s="3">
        <f>+BC83+BE83</f>
        <v>15239341</v>
      </c>
      <c r="BH83" s="3"/>
      <c r="BI83" s="3">
        <f>+'St of Net Assets'!Y83-BG83</f>
        <v>0</v>
      </c>
    </row>
    <row r="84" spans="1:61" hidden="1">
      <c r="A84" s="13" t="s">
        <v>279</v>
      </c>
      <c r="B84" s="13"/>
      <c r="C84" s="13" t="s">
        <v>162</v>
      </c>
      <c r="E84" s="3">
        <v>0</v>
      </c>
      <c r="F84" s="3"/>
      <c r="G84" s="3">
        <v>0</v>
      </c>
      <c r="H84" s="3"/>
      <c r="I84" s="3">
        <v>0</v>
      </c>
      <c r="J84" s="3"/>
      <c r="K84" s="3">
        <v>0</v>
      </c>
      <c r="L84" s="3"/>
      <c r="M84" s="3">
        <v>0</v>
      </c>
      <c r="N84" s="3"/>
      <c r="O84" s="3">
        <v>0</v>
      </c>
      <c r="P84" s="3"/>
      <c r="Q84" s="3">
        <v>0</v>
      </c>
      <c r="R84" s="3"/>
      <c r="S84" s="3">
        <v>0</v>
      </c>
      <c r="T84" s="3"/>
      <c r="U84" s="3">
        <v>0</v>
      </c>
      <c r="V84" s="3"/>
      <c r="W84" s="3">
        <v>0</v>
      </c>
      <c r="X84" s="3"/>
      <c r="Y84" s="3">
        <v>0</v>
      </c>
      <c r="Z84" s="3"/>
      <c r="AA84" s="3">
        <v>0</v>
      </c>
      <c r="AB84" s="3"/>
      <c r="AC84" s="13" t="s">
        <v>279</v>
      </c>
      <c r="AD84" s="13"/>
      <c r="AE84" s="13" t="s">
        <v>162</v>
      </c>
      <c r="AF84" s="13"/>
      <c r="AG84" s="3">
        <v>0</v>
      </c>
      <c r="AH84" s="3"/>
      <c r="AI84" s="3">
        <v>0</v>
      </c>
      <c r="AJ84" s="3"/>
      <c r="AK84" s="3"/>
      <c r="AL84" s="3"/>
      <c r="AM84" s="3">
        <v>0</v>
      </c>
      <c r="AN84" s="3"/>
      <c r="AO84" s="3">
        <v>0</v>
      </c>
      <c r="AP84" s="3"/>
      <c r="AQ84" s="3">
        <v>0</v>
      </c>
      <c r="AR84" s="3"/>
      <c r="AS84" s="3">
        <v>0</v>
      </c>
      <c r="AT84" s="3"/>
      <c r="AU84" s="3">
        <v>0</v>
      </c>
      <c r="AV84" s="3"/>
      <c r="AW84" s="3"/>
      <c r="AX84" s="3"/>
      <c r="AY84" s="3">
        <v>0</v>
      </c>
      <c r="AZ84" s="3"/>
      <c r="BA84" s="3">
        <f t="shared" si="2"/>
        <v>0</v>
      </c>
      <c r="BB84" s="3"/>
      <c r="BC84" s="3">
        <f>+'St of Act-Rev'!AE84-BA84</f>
        <v>0</v>
      </c>
      <c r="BD84" s="3"/>
      <c r="BE84" s="3"/>
      <c r="BF84" s="3"/>
      <c r="BG84" s="3">
        <f t="shared" si="3"/>
        <v>0</v>
      </c>
      <c r="BH84" s="3"/>
      <c r="BI84" s="3">
        <f>+'St of Net Assets'!Y84-BG84</f>
        <v>0</v>
      </c>
    </row>
    <row r="85" spans="1:61">
      <c r="A85" s="3" t="s">
        <v>320</v>
      </c>
      <c r="B85" s="13"/>
      <c r="C85" s="13" t="s">
        <v>163</v>
      </c>
      <c r="E85" s="3">
        <v>319848</v>
      </c>
      <c r="F85" s="3"/>
      <c r="G85" s="3">
        <v>1470384</v>
      </c>
      <c r="H85" s="3"/>
      <c r="I85" s="3">
        <v>0</v>
      </c>
      <c r="J85" s="3"/>
      <c r="K85" s="3">
        <v>0</v>
      </c>
      <c r="L85" s="3"/>
      <c r="M85" s="3">
        <v>635</v>
      </c>
      <c r="N85" s="3"/>
      <c r="O85" s="3">
        <v>2060031</v>
      </c>
      <c r="P85" s="3"/>
      <c r="Q85" s="3">
        <v>2797009</v>
      </c>
      <c r="R85" s="3"/>
      <c r="S85" s="3">
        <v>14931</v>
      </c>
      <c r="T85" s="3"/>
      <c r="U85" s="3">
        <v>1340509</v>
      </c>
      <c r="V85" s="3"/>
      <c r="W85" s="3">
        <v>194238</v>
      </c>
      <c r="X85" s="3"/>
      <c r="Y85" s="3">
        <v>0</v>
      </c>
      <c r="Z85" s="3"/>
      <c r="AA85" s="3">
        <v>56490</v>
      </c>
      <c r="AB85" s="3"/>
      <c r="AC85" s="3" t="s">
        <v>320</v>
      </c>
      <c r="AD85" s="13"/>
      <c r="AE85" s="13" t="s">
        <v>163</v>
      </c>
      <c r="AF85" s="13"/>
      <c r="AG85" s="3">
        <v>0</v>
      </c>
      <c r="AH85" s="3"/>
      <c r="AI85" s="3">
        <v>76666</v>
      </c>
      <c r="AJ85" s="3"/>
      <c r="AK85" s="3"/>
      <c r="AL85" s="3"/>
      <c r="AM85" s="3">
        <v>0</v>
      </c>
      <c r="AN85" s="3"/>
      <c r="AO85" s="3">
        <v>0</v>
      </c>
      <c r="AP85" s="3"/>
      <c r="AQ85" s="3">
        <v>0</v>
      </c>
      <c r="AR85" s="3"/>
      <c r="AS85" s="3">
        <v>1450</v>
      </c>
      <c r="AT85" s="3"/>
      <c r="AU85" s="3">
        <v>0</v>
      </c>
      <c r="AV85" s="3"/>
      <c r="AW85" s="3"/>
      <c r="AX85" s="3"/>
      <c r="AY85" s="3">
        <v>0</v>
      </c>
      <c r="AZ85" s="3"/>
      <c r="BA85" s="3">
        <f>SUM(E85:AZ85)</f>
        <v>8332191</v>
      </c>
      <c r="BB85" s="3"/>
      <c r="BC85" s="3">
        <f>+'St of Act-Rev'!AE85-BA85</f>
        <v>346421</v>
      </c>
      <c r="BD85" s="3"/>
      <c r="BE85" s="3">
        <v>588521</v>
      </c>
      <c r="BF85" s="3"/>
      <c r="BG85" s="3">
        <f>+BC85+BE85</f>
        <v>934942</v>
      </c>
      <c r="BH85" s="3"/>
      <c r="BI85" s="3">
        <f>+'St of Net Assets'!Y85-BG85</f>
        <v>0</v>
      </c>
    </row>
    <row r="86" spans="1:61">
      <c r="A86" s="3" t="s">
        <v>166</v>
      </c>
      <c r="B86" s="13"/>
      <c r="C86" s="13" t="s">
        <v>167</v>
      </c>
      <c r="E86" s="3">
        <v>1484560</v>
      </c>
      <c r="F86" s="3"/>
      <c r="G86" s="3">
        <v>0</v>
      </c>
      <c r="H86" s="3"/>
      <c r="I86" s="3">
        <v>0</v>
      </c>
      <c r="J86" s="3"/>
      <c r="K86" s="3">
        <v>0</v>
      </c>
      <c r="L86" s="3"/>
      <c r="M86" s="3">
        <v>0</v>
      </c>
      <c r="N86" s="3"/>
      <c r="O86" s="3">
        <v>448594</v>
      </c>
      <c r="P86" s="3"/>
      <c r="Q86" s="3">
        <v>1119909</v>
      </c>
      <c r="R86" s="3"/>
      <c r="S86" s="3">
        <v>35621</v>
      </c>
      <c r="T86" s="3"/>
      <c r="U86" s="3">
        <v>936955</v>
      </c>
      <c r="V86" s="3"/>
      <c r="W86" s="3">
        <v>104233</v>
      </c>
      <c r="X86" s="3"/>
      <c r="Y86" s="3">
        <v>0</v>
      </c>
      <c r="Z86" s="3"/>
      <c r="AA86" s="3">
        <v>28278</v>
      </c>
      <c r="AB86" s="3"/>
      <c r="AC86" s="3" t="s">
        <v>166</v>
      </c>
      <c r="AD86" s="13"/>
      <c r="AE86" s="13" t="s">
        <v>167</v>
      </c>
      <c r="AF86" s="13"/>
      <c r="AG86" s="3">
        <v>185167</v>
      </c>
      <c r="AH86" s="3"/>
      <c r="AI86" s="3">
        <v>54281</v>
      </c>
      <c r="AJ86" s="3"/>
      <c r="AK86" s="3"/>
      <c r="AL86" s="3"/>
      <c r="AM86" s="3">
        <v>0</v>
      </c>
      <c r="AN86" s="3"/>
      <c r="AO86" s="3">
        <v>28818</v>
      </c>
      <c r="AP86" s="3"/>
      <c r="AQ86" s="3">
        <v>0</v>
      </c>
      <c r="AR86" s="3"/>
      <c r="AS86" s="3">
        <v>0</v>
      </c>
      <c r="AT86" s="3"/>
      <c r="AU86" s="3">
        <v>0</v>
      </c>
      <c r="AV86" s="3"/>
      <c r="AW86" s="3"/>
      <c r="AX86" s="3"/>
      <c r="AY86" s="3">
        <v>0</v>
      </c>
      <c r="AZ86" s="3"/>
      <c r="BA86" s="3">
        <f t="shared" si="2"/>
        <v>4426416</v>
      </c>
      <c r="BB86" s="3"/>
      <c r="BC86" s="3">
        <f>+'St of Act-Rev'!AE86-BA86</f>
        <v>-232243</v>
      </c>
      <c r="BD86" s="3"/>
      <c r="BE86" s="3">
        <v>1293849</v>
      </c>
      <c r="BF86" s="3"/>
      <c r="BG86" s="3">
        <f t="shared" si="3"/>
        <v>1061606</v>
      </c>
      <c r="BH86" s="3"/>
      <c r="BI86" s="3">
        <f>+'St of Net Assets'!Y86-BG86</f>
        <v>0</v>
      </c>
    </row>
    <row r="87" spans="1:61">
      <c r="A87" s="61" t="s">
        <v>319</v>
      </c>
      <c r="B87" s="13"/>
      <c r="C87" s="13" t="s">
        <v>168</v>
      </c>
      <c r="E87" s="3">
        <v>158581</v>
      </c>
      <c r="F87" s="3"/>
      <c r="G87" s="3">
        <v>3502260</v>
      </c>
      <c r="H87" s="3"/>
      <c r="I87" s="3">
        <v>307339</v>
      </c>
      <c r="J87" s="3"/>
      <c r="K87" s="3">
        <v>16718</v>
      </c>
      <c r="L87" s="3"/>
      <c r="M87" s="3">
        <v>0</v>
      </c>
      <c r="N87" s="3"/>
      <c r="O87" s="3">
        <v>3770680</v>
      </c>
      <c r="P87" s="3"/>
      <c r="Q87" s="3">
        <v>2023286</v>
      </c>
      <c r="R87" s="3"/>
      <c r="S87" s="3">
        <v>36650</v>
      </c>
      <c r="T87" s="3"/>
      <c r="U87" s="3">
        <v>1260024</v>
      </c>
      <c r="V87" s="3"/>
      <c r="W87" s="3">
        <v>263709</v>
      </c>
      <c r="X87" s="3"/>
      <c r="Y87" s="3">
        <v>22608</v>
      </c>
      <c r="Z87" s="3"/>
      <c r="AA87" s="3">
        <v>92558</v>
      </c>
      <c r="AB87" s="3"/>
      <c r="AC87" s="61" t="s">
        <v>319</v>
      </c>
      <c r="AD87" s="13"/>
      <c r="AE87" s="13" t="s">
        <v>168</v>
      </c>
      <c r="AF87" s="13"/>
      <c r="AG87" s="3">
        <v>3588</v>
      </c>
      <c r="AH87" s="3"/>
      <c r="AI87" s="3">
        <v>143802</v>
      </c>
      <c r="AJ87" s="3"/>
      <c r="AK87" s="3"/>
      <c r="AL87" s="3"/>
      <c r="AM87" s="3">
        <v>0</v>
      </c>
      <c r="AN87" s="3"/>
      <c r="AO87" s="3">
        <v>0</v>
      </c>
      <c r="AP87" s="3"/>
      <c r="AQ87" s="3">
        <v>0</v>
      </c>
      <c r="AR87" s="3"/>
      <c r="AS87" s="3">
        <v>0</v>
      </c>
      <c r="AT87" s="3"/>
      <c r="AU87" s="3">
        <v>0</v>
      </c>
      <c r="AV87" s="3"/>
      <c r="AW87" s="3"/>
      <c r="AX87" s="3"/>
      <c r="AY87" s="3">
        <v>0</v>
      </c>
      <c r="AZ87" s="3"/>
      <c r="BA87" s="3">
        <f t="shared" si="2"/>
        <v>11601803</v>
      </c>
      <c r="BB87" s="3"/>
      <c r="BC87" s="3">
        <f>+'St of Act-Rev'!AE87-BA87</f>
        <v>132170</v>
      </c>
      <c r="BD87" s="3"/>
      <c r="BE87" s="3">
        <v>888647</v>
      </c>
      <c r="BF87" s="3"/>
      <c r="BG87" s="3">
        <f t="shared" si="3"/>
        <v>1020817</v>
      </c>
      <c r="BH87" s="3"/>
      <c r="BI87" s="3">
        <f>+'St of Net Assets'!Y87-BG87</f>
        <v>0</v>
      </c>
    </row>
    <row r="88" spans="1:61">
      <c r="A88" s="13" t="s">
        <v>296</v>
      </c>
      <c r="B88" s="13"/>
      <c r="C88" s="13" t="s">
        <v>169</v>
      </c>
      <c r="E88" s="3">
        <v>603160</v>
      </c>
      <c r="F88" s="3"/>
      <c r="G88" s="3">
        <v>2737417</v>
      </c>
      <c r="H88" s="3"/>
      <c r="I88" s="3">
        <v>0</v>
      </c>
      <c r="J88" s="3"/>
      <c r="K88" s="3">
        <v>0</v>
      </c>
      <c r="L88" s="3"/>
      <c r="M88" s="3">
        <v>0</v>
      </c>
      <c r="N88" s="3"/>
      <c r="O88" s="3">
        <v>5782247</v>
      </c>
      <c r="P88" s="3"/>
      <c r="Q88" s="3">
        <v>1889488</v>
      </c>
      <c r="R88" s="3"/>
      <c r="S88" s="3">
        <v>29692</v>
      </c>
      <c r="T88" s="3"/>
      <c r="U88" s="3">
        <v>293029</v>
      </c>
      <c r="V88" s="3"/>
      <c r="W88" s="3">
        <v>270173</v>
      </c>
      <c r="X88" s="3"/>
      <c r="Y88" s="3">
        <v>7845</v>
      </c>
      <c r="Z88" s="3"/>
      <c r="AA88" s="3">
        <v>202011</v>
      </c>
      <c r="AB88" s="3"/>
      <c r="AC88" s="13" t="s">
        <v>296</v>
      </c>
      <c r="AD88" s="13"/>
      <c r="AE88" s="13" t="s">
        <v>169</v>
      </c>
      <c r="AF88" s="13"/>
      <c r="AG88" s="3">
        <v>0</v>
      </c>
      <c r="AH88" s="3"/>
      <c r="AI88" s="3">
        <v>3383</v>
      </c>
      <c r="AJ88" s="3"/>
      <c r="AK88" s="3"/>
      <c r="AL88" s="3"/>
      <c r="AM88" s="3">
        <v>0</v>
      </c>
      <c r="AN88" s="3"/>
      <c r="AO88" s="3">
        <v>2850</v>
      </c>
      <c r="AP88" s="3"/>
      <c r="AQ88" s="3">
        <v>0</v>
      </c>
      <c r="AR88" s="3"/>
      <c r="AS88" s="3">
        <v>1987</v>
      </c>
      <c r="AT88" s="3"/>
      <c r="AU88" s="3">
        <v>0</v>
      </c>
      <c r="AV88" s="3"/>
      <c r="AW88" s="3"/>
      <c r="AX88" s="3"/>
      <c r="AY88" s="3">
        <v>227283</v>
      </c>
      <c r="AZ88" s="3"/>
      <c r="BA88" s="3">
        <f t="shared" si="2"/>
        <v>12050565</v>
      </c>
      <c r="BB88" s="3"/>
      <c r="BC88" s="3">
        <f>+'St of Act-Rev'!AE88-BA88</f>
        <v>-472699</v>
      </c>
      <c r="BD88" s="3"/>
      <c r="BE88" s="3">
        <v>1815049</v>
      </c>
      <c r="BF88" s="3"/>
      <c r="BG88" s="3">
        <f t="shared" si="3"/>
        <v>1342350</v>
      </c>
      <c r="BH88" s="3"/>
      <c r="BI88" s="3">
        <f>+'St of Net Assets'!Y88-BG88</f>
        <v>0</v>
      </c>
    </row>
    <row r="89" spans="1:61">
      <c r="A89" s="13" t="s">
        <v>297</v>
      </c>
      <c r="B89" s="13"/>
      <c r="C89" s="13" t="s">
        <v>170</v>
      </c>
      <c r="E89" s="3">
        <v>16827</v>
      </c>
      <c r="F89" s="3"/>
      <c r="G89" s="3">
        <v>7553574</v>
      </c>
      <c r="H89" s="3"/>
      <c r="I89" s="3">
        <v>49436</v>
      </c>
      <c r="J89" s="3"/>
      <c r="K89" s="3">
        <v>0</v>
      </c>
      <c r="L89" s="3"/>
      <c r="M89" s="3">
        <v>0</v>
      </c>
      <c r="N89" s="3"/>
      <c r="O89" s="3">
        <v>7660170</v>
      </c>
      <c r="P89" s="3"/>
      <c r="Q89" s="3">
        <v>7670971</v>
      </c>
      <c r="R89" s="3"/>
      <c r="S89" s="3">
        <v>46252</v>
      </c>
      <c r="T89" s="3"/>
      <c r="U89" s="3">
        <v>3162242</v>
      </c>
      <c r="V89" s="3"/>
      <c r="W89" s="3">
        <v>932636</v>
      </c>
      <c r="X89" s="3"/>
      <c r="Y89" s="3">
        <v>437101</v>
      </c>
      <c r="Z89" s="3"/>
      <c r="AA89" s="3">
        <v>413748</v>
      </c>
      <c r="AB89" s="3"/>
      <c r="AC89" s="13" t="s">
        <v>297</v>
      </c>
      <c r="AD89" s="13"/>
      <c r="AE89" s="13" t="s">
        <v>170</v>
      </c>
      <c r="AF89" s="13"/>
      <c r="AG89" s="3">
        <v>0</v>
      </c>
      <c r="AH89" s="3"/>
      <c r="AI89" s="3">
        <v>820380</v>
      </c>
      <c r="AJ89" s="3"/>
      <c r="AK89" s="3"/>
      <c r="AL89" s="3"/>
      <c r="AM89" s="3">
        <v>0</v>
      </c>
      <c r="AN89" s="3"/>
      <c r="AO89" s="3">
        <v>10399385</v>
      </c>
      <c r="AP89" s="3"/>
      <c r="AQ89" s="3">
        <v>0</v>
      </c>
      <c r="AR89" s="3"/>
      <c r="AS89" s="3">
        <v>102151</v>
      </c>
      <c r="AT89" s="3"/>
      <c r="AU89" s="3">
        <v>0</v>
      </c>
      <c r="AV89" s="3"/>
      <c r="AW89" s="3"/>
      <c r="AX89" s="3"/>
      <c r="AY89" s="3">
        <v>0</v>
      </c>
      <c r="AZ89" s="3"/>
      <c r="BA89" s="3">
        <f t="shared" si="2"/>
        <v>39264873</v>
      </c>
      <c r="BB89" s="3"/>
      <c r="BC89" s="3">
        <f>+'St of Act-Rev'!AE89-BA89</f>
        <v>1704660</v>
      </c>
      <c r="BD89" s="3"/>
      <c r="BE89" s="3">
        <v>7192691</v>
      </c>
      <c r="BF89" s="3"/>
      <c r="BG89" s="3">
        <f t="shared" si="3"/>
        <v>8897351</v>
      </c>
      <c r="BH89" s="3"/>
      <c r="BI89" s="3">
        <f>+'St of Net Assets'!Y89-BG89</f>
        <v>0</v>
      </c>
    </row>
    <row r="90" spans="1:61">
      <c r="A90" s="13" t="s">
        <v>298</v>
      </c>
      <c r="B90" s="13"/>
      <c r="C90" s="13" t="s">
        <v>171</v>
      </c>
      <c r="E90" s="3">
        <v>110483</v>
      </c>
      <c r="F90" s="3"/>
      <c r="G90" s="3">
        <v>1479768</v>
      </c>
      <c r="H90" s="3"/>
      <c r="I90" s="3">
        <v>0</v>
      </c>
      <c r="J90" s="3"/>
      <c r="K90" s="3">
        <v>0</v>
      </c>
      <c r="L90" s="3"/>
      <c r="M90" s="3">
        <v>0</v>
      </c>
      <c r="N90" s="3"/>
      <c r="O90" s="3">
        <v>1300118</v>
      </c>
      <c r="P90" s="3"/>
      <c r="Q90" s="3">
        <v>1719965</v>
      </c>
      <c r="R90" s="3"/>
      <c r="S90" s="3">
        <v>46669</v>
      </c>
      <c r="T90" s="3"/>
      <c r="U90" s="3">
        <v>557298</v>
      </c>
      <c r="V90" s="3"/>
      <c r="W90" s="3">
        <v>228952</v>
      </c>
      <c r="X90" s="3"/>
      <c r="Y90" s="3">
        <v>0</v>
      </c>
      <c r="Z90" s="3"/>
      <c r="AA90" s="3">
        <v>79695</v>
      </c>
      <c r="AB90" s="3"/>
      <c r="AC90" s="13" t="s">
        <v>298</v>
      </c>
      <c r="AD90" s="13"/>
      <c r="AE90" s="13" t="s">
        <v>171</v>
      </c>
      <c r="AF90" s="13"/>
      <c r="AG90" s="3">
        <v>86811</v>
      </c>
      <c r="AH90" s="3"/>
      <c r="AI90" s="3">
        <v>4740</v>
      </c>
      <c r="AJ90" s="3"/>
      <c r="AK90" s="3"/>
      <c r="AL90" s="3"/>
      <c r="AM90" s="3">
        <v>0</v>
      </c>
      <c r="AN90" s="3"/>
      <c r="AO90" s="3">
        <v>4908</v>
      </c>
      <c r="AP90" s="3"/>
      <c r="AQ90" s="3">
        <v>1129</v>
      </c>
      <c r="AR90" s="3"/>
      <c r="AS90" s="3">
        <v>0</v>
      </c>
      <c r="AT90" s="3"/>
      <c r="AU90" s="3">
        <v>0</v>
      </c>
      <c r="AV90" s="3"/>
      <c r="AW90" s="3"/>
      <c r="AX90" s="3"/>
      <c r="AY90" s="3">
        <v>0</v>
      </c>
      <c r="AZ90" s="3"/>
      <c r="BA90" s="3">
        <f t="shared" si="2"/>
        <v>5620536</v>
      </c>
      <c r="BB90" s="3"/>
      <c r="BC90" s="3">
        <f>+'St of Act-Rev'!AE90-BA90</f>
        <v>78702</v>
      </c>
      <c r="BD90" s="3"/>
      <c r="BE90" s="3">
        <v>7917</v>
      </c>
      <c r="BF90" s="3"/>
      <c r="BG90" s="3">
        <f t="shared" si="3"/>
        <v>86619</v>
      </c>
      <c r="BH90" s="3"/>
      <c r="BI90" s="3">
        <f>+'St of Net Assets'!Y90-BG90</f>
        <v>0</v>
      </c>
    </row>
    <row r="91" spans="1:61" hidden="1">
      <c r="A91" s="13" t="s">
        <v>357</v>
      </c>
      <c r="B91" s="13"/>
      <c r="C91" s="13" t="s">
        <v>21</v>
      </c>
      <c r="E91" s="3">
        <v>0</v>
      </c>
      <c r="F91" s="3"/>
      <c r="G91" s="3">
        <v>0</v>
      </c>
      <c r="H91" s="3"/>
      <c r="I91" s="3">
        <v>0</v>
      </c>
      <c r="J91" s="3"/>
      <c r="K91" s="3">
        <v>0</v>
      </c>
      <c r="L91" s="3"/>
      <c r="M91" s="3">
        <v>0</v>
      </c>
      <c r="N91" s="3"/>
      <c r="O91" s="3">
        <v>0</v>
      </c>
      <c r="P91" s="3"/>
      <c r="Q91" s="3">
        <v>0</v>
      </c>
      <c r="R91" s="3"/>
      <c r="S91" s="3">
        <v>0</v>
      </c>
      <c r="T91" s="3"/>
      <c r="U91" s="3">
        <v>0</v>
      </c>
      <c r="V91" s="3"/>
      <c r="W91" s="3">
        <v>0</v>
      </c>
      <c r="X91" s="3"/>
      <c r="Y91" s="3">
        <v>0</v>
      </c>
      <c r="Z91" s="3"/>
      <c r="AA91" s="3">
        <v>0</v>
      </c>
      <c r="AB91" s="3"/>
      <c r="AC91" s="13" t="s">
        <v>357</v>
      </c>
      <c r="AD91" s="13"/>
      <c r="AE91" s="13" t="s">
        <v>21</v>
      </c>
      <c r="AF91" s="13"/>
      <c r="AG91" s="3">
        <v>0</v>
      </c>
      <c r="AH91" s="3"/>
      <c r="AI91" s="3">
        <v>0</v>
      </c>
      <c r="AJ91" s="3"/>
      <c r="AK91" s="3"/>
      <c r="AL91" s="3"/>
      <c r="AM91" s="3">
        <v>0</v>
      </c>
      <c r="AN91" s="3"/>
      <c r="AO91" s="3">
        <v>0</v>
      </c>
      <c r="AP91" s="3"/>
      <c r="AQ91" s="3">
        <v>0</v>
      </c>
      <c r="AR91" s="3"/>
      <c r="AS91" s="3">
        <v>0</v>
      </c>
      <c r="AT91" s="3"/>
      <c r="AU91" s="3">
        <v>0</v>
      </c>
      <c r="AV91" s="3"/>
      <c r="AW91" s="3"/>
      <c r="AX91" s="3"/>
      <c r="AY91" s="3">
        <v>0</v>
      </c>
      <c r="AZ91" s="3"/>
      <c r="BA91" s="3">
        <f t="shared" si="2"/>
        <v>0</v>
      </c>
      <c r="BB91" s="3"/>
      <c r="BC91" s="3">
        <f>+'St of Act-Rev'!AE91-BA91</f>
        <v>0</v>
      </c>
      <c r="BD91" s="3"/>
      <c r="BE91" s="3"/>
      <c r="BF91" s="3"/>
      <c r="BG91" s="3">
        <f t="shared" si="3"/>
        <v>0</v>
      </c>
      <c r="BH91" s="3"/>
      <c r="BI91" s="3">
        <f>+'St of Net Assets'!Y91-BG91</f>
        <v>0</v>
      </c>
    </row>
    <row r="92" spans="1:61">
      <c r="A92" s="13" t="s">
        <v>299</v>
      </c>
      <c r="B92" s="13"/>
      <c r="C92" s="13" t="s">
        <v>172</v>
      </c>
      <c r="E92" s="3">
        <v>870875</v>
      </c>
      <c r="F92" s="3"/>
      <c r="G92" s="3">
        <v>498178</v>
      </c>
      <c r="H92" s="3"/>
      <c r="I92" s="3">
        <v>0</v>
      </c>
      <c r="J92" s="3"/>
      <c r="K92" s="3">
        <v>0</v>
      </c>
      <c r="L92" s="3"/>
      <c r="M92" s="3">
        <v>6400</v>
      </c>
      <c r="N92" s="3"/>
      <c r="O92" s="3">
        <v>1230632</v>
      </c>
      <c r="P92" s="3"/>
      <c r="Q92" s="3">
        <v>1818671</v>
      </c>
      <c r="R92" s="3"/>
      <c r="S92" s="3">
        <v>16016</v>
      </c>
      <c r="T92" s="3"/>
      <c r="U92" s="3">
        <v>891952</v>
      </c>
      <c r="V92" s="3"/>
      <c r="W92" s="3">
        <v>304601</v>
      </c>
      <c r="X92" s="3"/>
      <c r="Y92" s="3">
        <v>0</v>
      </c>
      <c r="Z92" s="3"/>
      <c r="AA92" s="3">
        <v>27915</v>
      </c>
      <c r="AB92" s="3"/>
      <c r="AC92" s="13" t="s">
        <v>299</v>
      </c>
      <c r="AD92" s="13"/>
      <c r="AE92" s="13" t="s">
        <v>172</v>
      </c>
      <c r="AF92" s="13"/>
      <c r="AG92" s="3">
        <v>0</v>
      </c>
      <c r="AH92" s="3"/>
      <c r="AI92" s="3">
        <v>8380</v>
      </c>
      <c r="AJ92" s="3"/>
      <c r="AK92" s="3"/>
      <c r="AL92" s="3"/>
      <c r="AM92" s="3">
        <v>0</v>
      </c>
      <c r="AN92" s="3"/>
      <c r="AO92" s="3">
        <v>0</v>
      </c>
      <c r="AP92" s="3"/>
      <c r="AQ92" s="3">
        <v>0</v>
      </c>
      <c r="AR92" s="3"/>
      <c r="AS92" s="3">
        <v>640</v>
      </c>
      <c r="AT92" s="3"/>
      <c r="AU92" s="3">
        <v>0</v>
      </c>
      <c r="AV92" s="3"/>
      <c r="AW92" s="3"/>
      <c r="AX92" s="3"/>
      <c r="AY92" s="3">
        <v>0</v>
      </c>
      <c r="AZ92" s="3"/>
      <c r="BA92" s="3">
        <f t="shared" si="2"/>
        <v>5674260</v>
      </c>
      <c r="BB92" s="3"/>
      <c r="BC92" s="3">
        <f>+'St of Act-Rev'!AE92-BA92</f>
        <v>-256057</v>
      </c>
      <c r="BD92" s="3"/>
      <c r="BE92" s="3">
        <v>3888984</v>
      </c>
      <c r="BF92" s="3"/>
      <c r="BG92" s="3">
        <f t="shared" si="3"/>
        <v>3632927</v>
      </c>
      <c r="BH92" s="3"/>
      <c r="BI92" s="3">
        <f>+'St of Net Assets'!Y92-BG92</f>
        <v>0</v>
      </c>
    </row>
    <row r="93" spans="1:61">
      <c r="A93" s="13" t="s">
        <v>300</v>
      </c>
      <c r="B93" s="13"/>
      <c r="C93" s="13" t="s">
        <v>173</v>
      </c>
      <c r="E93" s="3">
        <v>46204</v>
      </c>
      <c r="F93" s="3"/>
      <c r="G93" s="3">
        <v>3566766</v>
      </c>
      <c r="H93" s="3"/>
      <c r="I93" s="3">
        <v>0</v>
      </c>
      <c r="J93" s="3"/>
      <c r="K93" s="3">
        <v>0</v>
      </c>
      <c r="L93" s="3"/>
      <c r="M93" s="3">
        <v>0</v>
      </c>
      <c r="N93" s="3"/>
      <c r="O93" s="3">
        <v>723154</v>
      </c>
      <c r="P93" s="3"/>
      <c r="Q93" s="3">
        <v>906208</v>
      </c>
      <c r="R93" s="3"/>
      <c r="S93" s="3">
        <v>23427</v>
      </c>
      <c r="T93" s="3"/>
      <c r="U93" s="3">
        <v>523699</v>
      </c>
      <c r="V93" s="3"/>
      <c r="W93" s="3">
        <v>90171</v>
      </c>
      <c r="X93" s="3"/>
      <c r="Y93" s="3">
        <v>0</v>
      </c>
      <c r="Z93" s="3"/>
      <c r="AA93" s="3">
        <v>35357</v>
      </c>
      <c r="AB93" s="3"/>
      <c r="AC93" s="13" t="s">
        <v>300</v>
      </c>
      <c r="AD93" s="13"/>
      <c r="AE93" s="13" t="s">
        <v>173</v>
      </c>
      <c r="AF93" s="13"/>
      <c r="AG93" s="3">
        <v>0</v>
      </c>
      <c r="AH93" s="3"/>
      <c r="AI93" s="3">
        <v>2335</v>
      </c>
      <c r="AJ93" s="3"/>
      <c r="AK93" s="3"/>
      <c r="AL93" s="3"/>
      <c r="AM93" s="3">
        <v>0</v>
      </c>
      <c r="AN93" s="3"/>
      <c r="AO93" s="3">
        <v>0</v>
      </c>
      <c r="AP93" s="3"/>
      <c r="AQ93" s="3">
        <v>4411</v>
      </c>
      <c r="AR93" s="3"/>
      <c r="AS93" s="3">
        <v>0</v>
      </c>
      <c r="AT93" s="3"/>
      <c r="AU93" s="3">
        <v>0</v>
      </c>
      <c r="AV93" s="3"/>
      <c r="AW93" s="3"/>
      <c r="AX93" s="3"/>
      <c r="AY93" s="3">
        <v>0</v>
      </c>
      <c r="AZ93" s="3"/>
      <c r="BA93" s="3">
        <f t="shared" si="2"/>
        <v>5921732</v>
      </c>
      <c r="BB93" s="3"/>
      <c r="BC93" s="3">
        <f>+'St of Act-Rev'!AE93-BA93</f>
        <v>245999</v>
      </c>
      <c r="BD93" s="3"/>
      <c r="BE93" s="3">
        <v>-625166</v>
      </c>
      <c r="BF93" s="3"/>
      <c r="BG93" s="3">
        <f t="shared" si="3"/>
        <v>-379167</v>
      </c>
      <c r="BH93" s="3"/>
      <c r="BI93" s="3">
        <f>+'St of Net Assets'!Y93-BG93</f>
        <v>0</v>
      </c>
    </row>
    <row r="94" spans="1:61">
      <c r="A94" s="13" t="s">
        <v>301</v>
      </c>
      <c r="B94" s="13"/>
      <c r="C94" s="13" t="s">
        <v>148</v>
      </c>
      <c r="E94" s="3">
        <v>860417</v>
      </c>
      <c r="F94" s="3"/>
      <c r="G94" s="3">
        <v>2817859</v>
      </c>
      <c r="H94" s="3"/>
      <c r="I94" s="3">
        <v>139069</v>
      </c>
      <c r="J94" s="3"/>
      <c r="K94" s="3">
        <v>0</v>
      </c>
      <c r="L94" s="3"/>
      <c r="M94" s="3">
        <v>202927</v>
      </c>
      <c r="N94" s="3"/>
      <c r="O94" s="3">
        <v>3257416</v>
      </c>
      <c r="P94" s="3"/>
      <c r="Q94" s="3">
        <v>1981474</v>
      </c>
      <c r="R94" s="3"/>
      <c r="S94" s="3">
        <v>6870288</v>
      </c>
      <c r="T94" s="3"/>
      <c r="U94" s="3">
        <v>1844118</v>
      </c>
      <c r="V94" s="3"/>
      <c r="W94" s="3">
        <v>223934</v>
      </c>
      <c r="X94" s="3"/>
      <c r="Y94" s="3">
        <v>0</v>
      </c>
      <c r="Z94" s="3"/>
      <c r="AA94" s="3">
        <v>118698</v>
      </c>
      <c r="AB94" s="3"/>
      <c r="AC94" s="13" t="s">
        <v>301</v>
      </c>
      <c r="AD94" s="13"/>
      <c r="AE94" s="13" t="s">
        <v>148</v>
      </c>
      <c r="AF94" s="13"/>
      <c r="AG94" s="3">
        <v>171011</v>
      </c>
      <c r="AH94" s="3"/>
      <c r="AI94" s="3">
        <v>745396</v>
      </c>
      <c r="AJ94" s="3"/>
      <c r="AK94" s="3"/>
      <c r="AL94" s="3"/>
      <c r="AM94" s="3">
        <v>0</v>
      </c>
      <c r="AN94" s="3"/>
      <c r="AO94" s="3">
        <v>26887</v>
      </c>
      <c r="AP94" s="3"/>
      <c r="AQ94" s="3">
        <v>0</v>
      </c>
      <c r="AR94" s="3"/>
      <c r="AS94" s="3">
        <v>0</v>
      </c>
      <c r="AT94" s="3"/>
      <c r="AU94" s="3">
        <v>0</v>
      </c>
      <c r="AV94" s="3"/>
      <c r="AW94" s="3"/>
      <c r="AX94" s="3"/>
      <c r="AY94" s="3">
        <v>0</v>
      </c>
      <c r="AZ94" s="3"/>
      <c r="BA94" s="3">
        <f t="shared" si="2"/>
        <v>19259494</v>
      </c>
      <c r="BB94" s="3"/>
      <c r="BC94" s="3">
        <f>+'St of Act-Rev'!AE94-BA94</f>
        <v>517238</v>
      </c>
      <c r="BD94" s="3"/>
      <c r="BE94" s="3">
        <v>1446615</v>
      </c>
      <c r="BF94" s="3"/>
      <c r="BG94" s="3">
        <f t="shared" si="3"/>
        <v>1963853</v>
      </c>
      <c r="BH94" s="3"/>
      <c r="BI94" s="3">
        <f>+'St of Net Assets'!Y94-BG94</f>
        <v>0</v>
      </c>
    </row>
    <row r="95" spans="1:61">
      <c r="A95" s="13" t="s">
        <v>302</v>
      </c>
      <c r="B95" s="13"/>
      <c r="C95" s="13" t="s">
        <v>174</v>
      </c>
      <c r="E95" s="3">
        <v>215977</v>
      </c>
      <c r="F95" s="3"/>
      <c r="G95" s="3">
        <v>282676</v>
      </c>
      <c r="H95" s="3"/>
      <c r="I95" s="3">
        <v>0</v>
      </c>
      <c r="J95" s="3"/>
      <c r="K95" s="3">
        <v>0</v>
      </c>
      <c r="L95" s="3"/>
      <c r="M95" s="3">
        <v>0</v>
      </c>
      <c r="N95" s="3"/>
      <c r="O95" s="3">
        <v>439668</v>
      </c>
      <c r="P95" s="3"/>
      <c r="Q95" s="3">
        <v>506187</v>
      </c>
      <c r="R95" s="3"/>
      <c r="S95" s="3">
        <v>60583</v>
      </c>
      <c r="T95" s="3"/>
      <c r="U95" s="3">
        <v>213090</v>
      </c>
      <c r="V95" s="3"/>
      <c r="W95" s="3">
        <v>161035</v>
      </c>
      <c r="X95" s="3"/>
      <c r="Y95" s="3">
        <v>0</v>
      </c>
      <c r="Z95" s="3"/>
      <c r="AA95" s="3">
        <v>20078</v>
      </c>
      <c r="AB95" s="3"/>
      <c r="AC95" s="13" t="s">
        <v>302</v>
      </c>
      <c r="AD95" s="13"/>
      <c r="AE95" s="13" t="s">
        <v>174</v>
      </c>
      <c r="AF95" s="13"/>
      <c r="AG95" s="3">
        <v>0</v>
      </c>
      <c r="AH95" s="3"/>
      <c r="AI95" s="3">
        <v>189521</v>
      </c>
      <c r="AJ95" s="3"/>
      <c r="AK95" s="3"/>
      <c r="AL95" s="3"/>
      <c r="AM95" s="3">
        <v>0</v>
      </c>
      <c r="AN95" s="3"/>
      <c r="AO95" s="3">
        <v>0</v>
      </c>
      <c r="AP95" s="3"/>
      <c r="AQ95" s="3">
        <v>0</v>
      </c>
      <c r="AR95" s="3"/>
      <c r="AS95" s="3">
        <v>0</v>
      </c>
      <c r="AT95" s="3"/>
      <c r="AU95" s="3">
        <v>0</v>
      </c>
      <c r="AV95" s="3"/>
      <c r="AW95" s="3"/>
      <c r="AX95" s="3"/>
      <c r="AY95" s="3">
        <v>0</v>
      </c>
      <c r="AZ95" s="3"/>
      <c r="BA95" s="3">
        <f t="shared" si="2"/>
        <v>2088815</v>
      </c>
      <c r="BB95" s="3"/>
      <c r="BC95" s="3">
        <f>+'St of Act-Rev'!AE95-BA95</f>
        <v>311661</v>
      </c>
      <c r="BD95" s="3"/>
      <c r="BE95" s="3">
        <v>541674</v>
      </c>
      <c r="BF95" s="3"/>
      <c r="BG95" s="3">
        <f t="shared" si="3"/>
        <v>853335</v>
      </c>
      <c r="BH95" s="3"/>
      <c r="BI95" s="3">
        <f>+'St of Net Assets'!Y95-BG95</f>
        <v>0</v>
      </c>
    </row>
    <row r="96" spans="1:61">
      <c r="A96" s="3" t="s">
        <v>303</v>
      </c>
      <c r="B96" s="3"/>
      <c r="C96" s="3" t="s">
        <v>175</v>
      </c>
      <c r="E96" s="3">
        <v>1923</v>
      </c>
      <c r="F96" s="3"/>
      <c r="G96" s="3">
        <v>2900964</v>
      </c>
      <c r="H96" s="3"/>
      <c r="I96" s="3">
        <v>0</v>
      </c>
      <c r="J96" s="3"/>
      <c r="K96" s="3">
        <v>0</v>
      </c>
      <c r="L96" s="3"/>
      <c r="M96" s="3">
        <v>0</v>
      </c>
      <c r="N96" s="3"/>
      <c r="O96" s="3">
        <v>1665564</v>
      </c>
      <c r="P96" s="3"/>
      <c r="Q96" s="3">
        <v>4315586</v>
      </c>
      <c r="R96" s="3"/>
      <c r="S96" s="3">
        <v>11317</v>
      </c>
      <c r="T96" s="3"/>
      <c r="U96" s="3">
        <v>850684</v>
      </c>
      <c r="V96" s="3"/>
      <c r="W96" s="3">
        <v>300919</v>
      </c>
      <c r="X96" s="3"/>
      <c r="Y96" s="3">
        <v>7059</v>
      </c>
      <c r="Z96" s="3"/>
      <c r="AA96" s="3">
        <v>93610</v>
      </c>
      <c r="AB96" s="3"/>
      <c r="AC96" s="3" t="s">
        <v>303</v>
      </c>
      <c r="AD96" s="3"/>
      <c r="AE96" s="3" t="s">
        <v>175</v>
      </c>
      <c r="AF96" s="3"/>
      <c r="AG96" s="3">
        <v>0</v>
      </c>
      <c r="AH96" s="3"/>
      <c r="AI96" s="3">
        <v>370957</v>
      </c>
      <c r="AJ96" s="3"/>
      <c r="AK96" s="3"/>
      <c r="AL96" s="3"/>
      <c r="AM96" s="3">
        <v>0</v>
      </c>
      <c r="AN96" s="3"/>
      <c r="AO96" s="3">
        <v>0</v>
      </c>
      <c r="AP96" s="3"/>
      <c r="AQ96" s="3">
        <v>0</v>
      </c>
      <c r="AR96" s="3"/>
      <c r="AS96" s="3">
        <v>2884</v>
      </c>
      <c r="AT96" s="3"/>
      <c r="AU96" s="3">
        <v>0</v>
      </c>
      <c r="AV96" s="3"/>
      <c r="AW96" s="3"/>
      <c r="AX96" s="3"/>
      <c r="AY96" s="3">
        <v>57926</v>
      </c>
      <c r="AZ96" s="3"/>
      <c r="BA96" s="3">
        <f t="shared" si="2"/>
        <v>10579393</v>
      </c>
      <c r="BB96" s="3"/>
      <c r="BC96" s="3">
        <f>+'St of Act-Rev'!AE96-BA96</f>
        <v>-1741160</v>
      </c>
      <c r="BD96" s="3"/>
      <c r="BE96" s="3">
        <v>1853853</v>
      </c>
      <c r="BF96" s="3"/>
      <c r="BG96" s="3">
        <f>+BC96+BE96</f>
        <v>112693</v>
      </c>
      <c r="BH96" s="3"/>
      <c r="BI96" s="3">
        <f>+'St of Net Assets'!Y96-BG96</f>
        <v>0</v>
      </c>
    </row>
    <row r="97" spans="1:61">
      <c r="A97" s="13" t="s">
        <v>304</v>
      </c>
      <c r="B97" s="13"/>
      <c r="C97" s="13" t="s">
        <v>176</v>
      </c>
      <c r="E97" s="3">
        <v>0</v>
      </c>
      <c r="F97" s="3"/>
      <c r="G97" s="3">
        <v>2161618</v>
      </c>
      <c r="H97" s="3"/>
      <c r="I97" s="3">
        <v>0</v>
      </c>
      <c r="J97" s="3"/>
      <c r="K97" s="3">
        <v>0</v>
      </c>
      <c r="L97" s="3"/>
      <c r="M97" s="3">
        <v>0</v>
      </c>
      <c r="N97" s="3"/>
      <c r="O97" s="3">
        <v>467481</v>
      </c>
      <c r="P97" s="3"/>
      <c r="Q97" s="3">
        <v>189676</v>
      </c>
      <c r="R97" s="3"/>
      <c r="S97" s="3">
        <v>9292</v>
      </c>
      <c r="T97" s="3"/>
      <c r="U97" s="3">
        <v>323535</v>
      </c>
      <c r="V97" s="3"/>
      <c r="W97" s="3">
        <v>359311</v>
      </c>
      <c r="X97" s="3"/>
      <c r="Y97" s="3">
        <v>0</v>
      </c>
      <c r="Z97" s="3"/>
      <c r="AA97" s="3">
        <v>25870</v>
      </c>
      <c r="AB97" s="3"/>
      <c r="AC97" s="13" t="s">
        <v>304</v>
      </c>
      <c r="AD97" s="13"/>
      <c r="AE97" s="13" t="s">
        <v>176</v>
      </c>
      <c r="AF97" s="13"/>
      <c r="AG97" s="3">
        <v>0</v>
      </c>
      <c r="AH97" s="3"/>
      <c r="AI97" s="3">
        <v>26966</v>
      </c>
      <c r="AJ97" s="3"/>
      <c r="AK97" s="3"/>
      <c r="AL97" s="3"/>
      <c r="AM97" s="3">
        <v>0</v>
      </c>
      <c r="AN97" s="3"/>
      <c r="AO97" s="3">
        <v>62115</v>
      </c>
      <c r="AP97" s="3"/>
      <c r="AQ97" s="3">
        <v>282</v>
      </c>
      <c r="AR97" s="3"/>
      <c r="AS97" s="3">
        <v>0</v>
      </c>
      <c r="AT97" s="3"/>
      <c r="AU97" s="3">
        <v>0</v>
      </c>
      <c r="AV97" s="3"/>
      <c r="AW97" s="3"/>
      <c r="AX97" s="3"/>
      <c r="AY97" s="3">
        <v>0</v>
      </c>
      <c r="AZ97" s="3"/>
      <c r="BA97" s="3">
        <f t="shared" si="2"/>
        <v>3626146</v>
      </c>
      <c r="BB97" s="3"/>
      <c r="BC97" s="3">
        <f>+'St of Act-Rev'!AE97-BA97</f>
        <v>310433</v>
      </c>
      <c r="BD97" s="3"/>
      <c r="BE97" s="3">
        <v>601894</v>
      </c>
      <c r="BF97" s="3"/>
      <c r="BG97" s="3">
        <f t="shared" si="3"/>
        <v>912327</v>
      </c>
      <c r="BH97" s="3"/>
      <c r="BI97" s="3">
        <f>+'St of Net Assets'!Y97-BG97</f>
        <v>0</v>
      </c>
    </row>
    <row r="98" spans="1:61">
      <c r="A98" s="13" t="s">
        <v>359</v>
      </c>
      <c r="B98" s="13"/>
      <c r="C98" s="13" t="s">
        <v>144</v>
      </c>
      <c r="E98" s="3">
        <v>1004234</v>
      </c>
      <c r="F98" s="3"/>
      <c r="G98" s="3">
        <v>1545760</v>
      </c>
      <c r="H98" s="3"/>
      <c r="I98" s="3">
        <v>0</v>
      </c>
      <c r="J98" s="3"/>
      <c r="K98" s="3">
        <v>0</v>
      </c>
      <c r="L98" s="3"/>
      <c r="M98" s="3">
        <v>0</v>
      </c>
      <c r="N98" s="3"/>
      <c r="O98" s="3">
        <v>1724573</v>
      </c>
      <c r="P98" s="3"/>
      <c r="Q98" s="3">
        <v>4759674</v>
      </c>
      <c r="R98" s="3"/>
      <c r="S98" s="3">
        <v>72087</v>
      </c>
      <c r="T98" s="3"/>
      <c r="U98" s="3">
        <v>718149</v>
      </c>
      <c r="V98" s="3"/>
      <c r="W98" s="3">
        <v>340798</v>
      </c>
      <c r="X98" s="3"/>
      <c r="Y98" s="3">
        <v>326201</v>
      </c>
      <c r="Z98" s="3"/>
      <c r="AA98" s="3">
        <v>279532</v>
      </c>
      <c r="AB98" s="3"/>
      <c r="AC98" s="13" t="s">
        <v>359</v>
      </c>
      <c r="AD98" s="13"/>
      <c r="AE98" s="13" t="s">
        <v>144</v>
      </c>
      <c r="AF98" s="13"/>
      <c r="AG98" s="3">
        <v>0</v>
      </c>
      <c r="AH98" s="3"/>
      <c r="AI98" s="3">
        <v>13606</v>
      </c>
      <c r="AJ98" s="3"/>
      <c r="AK98" s="3"/>
      <c r="AL98" s="3"/>
      <c r="AM98" s="3">
        <v>0</v>
      </c>
      <c r="AN98" s="3"/>
      <c r="AO98" s="3">
        <v>98572</v>
      </c>
      <c r="AP98" s="3"/>
      <c r="AQ98" s="3">
        <v>18888</v>
      </c>
      <c r="AR98" s="3"/>
      <c r="AS98" s="3">
        <v>0</v>
      </c>
      <c r="AT98" s="3"/>
      <c r="AU98" s="3">
        <v>0</v>
      </c>
      <c r="AV98" s="3"/>
      <c r="AW98" s="3"/>
      <c r="AX98" s="3"/>
      <c r="AY98" s="3">
        <v>0</v>
      </c>
      <c r="AZ98" s="3"/>
      <c r="BA98" s="3">
        <f t="shared" si="2"/>
        <v>10902074</v>
      </c>
      <c r="BB98" s="3"/>
      <c r="BC98" s="3">
        <f>+'St of Act-Rev'!AE98-BA98</f>
        <v>-412461</v>
      </c>
      <c r="BD98" s="3"/>
      <c r="BE98" s="3">
        <v>3061215</v>
      </c>
      <c r="BF98" s="3"/>
      <c r="BG98" s="3">
        <f t="shared" si="3"/>
        <v>2648754</v>
      </c>
      <c r="BH98" s="3"/>
      <c r="BI98" s="3">
        <f>+'St of Net Assets'!Y98-BG98</f>
        <v>0</v>
      </c>
    </row>
    <row r="99" spans="1:61">
      <c r="A99" s="13" t="s">
        <v>358</v>
      </c>
      <c r="B99" s="13"/>
      <c r="C99" s="13" t="s">
        <v>177</v>
      </c>
      <c r="E99" s="3">
        <v>16680</v>
      </c>
      <c r="F99" s="3"/>
      <c r="G99" s="3">
        <v>5550094</v>
      </c>
      <c r="H99" s="3"/>
      <c r="I99" s="3">
        <v>101786</v>
      </c>
      <c r="J99" s="3"/>
      <c r="K99" s="3">
        <v>51494</v>
      </c>
      <c r="L99" s="3"/>
      <c r="M99" s="3">
        <v>79260</v>
      </c>
      <c r="N99" s="3"/>
      <c r="O99" s="3">
        <v>5746438</v>
      </c>
      <c r="P99" s="3"/>
      <c r="Q99" s="3">
        <v>5008125</v>
      </c>
      <c r="R99" s="3"/>
      <c r="S99" s="3">
        <v>25754</v>
      </c>
      <c r="T99" s="3"/>
      <c r="U99" s="3">
        <v>2334436</v>
      </c>
      <c r="V99" s="3"/>
      <c r="W99" s="3">
        <v>1218789</v>
      </c>
      <c r="X99" s="3"/>
      <c r="Y99" s="3">
        <v>60538</v>
      </c>
      <c r="Z99" s="3"/>
      <c r="AA99" s="3">
        <v>981127</v>
      </c>
      <c r="AB99" s="3"/>
      <c r="AC99" s="13" t="s">
        <v>358</v>
      </c>
      <c r="AD99" s="13"/>
      <c r="AE99" s="13" t="s">
        <v>177</v>
      </c>
      <c r="AF99" s="13"/>
      <c r="AG99" s="3">
        <v>43132</v>
      </c>
      <c r="AH99" s="3"/>
      <c r="AI99" s="3">
        <v>394476</v>
      </c>
      <c r="AJ99" s="3"/>
      <c r="AK99" s="3"/>
      <c r="AL99" s="3"/>
      <c r="AM99" s="3">
        <v>27677</v>
      </c>
      <c r="AN99" s="3"/>
      <c r="AO99" s="3">
        <v>3101875</v>
      </c>
      <c r="AP99" s="3"/>
      <c r="AQ99" s="3">
        <v>0</v>
      </c>
      <c r="AR99" s="3"/>
      <c r="AS99" s="3">
        <v>423</v>
      </c>
      <c r="AT99" s="3"/>
      <c r="AU99" s="3">
        <v>0</v>
      </c>
      <c r="AV99" s="3"/>
      <c r="AW99" s="3"/>
      <c r="AX99" s="3"/>
      <c r="AY99" s="3">
        <v>0</v>
      </c>
      <c r="AZ99" s="3"/>
      <c r="BA99" s="3">
        <f t="shared" si="2"/>
        <v>24742104</v>
      </c>
      <c r="BB99" s="3"/>
      <c r="BC99" s="3">
        <f>+'St of Act-Rev'!AE99-BA99</f>
        <v>-1102726</v>
      </c>
      <c r="BD99" s="3"/>
      <c r="BE99" s="3">
        <v>6455295</v>
      </c>
      <c r="BF99" s="3"/>
      <c r="BG99" s="3">
        <f t="shared" si="3"/>
        <v>5352569</v>
      </c>
      <c r="BH99" s="3"/>
      <c r="BI99" s="3">
        <f>+'St of Net Assets'!Y99-BG99</f>
        <v>0</v>
      </c>
    </row>
    <row r="100" spans="1:61" hidden="1">
      <c r="A100" s="3" t="s">
        <v>322</v>
      </c>
      <c r="B100" s="13"/>
      <c r="C100" s="13" t="s">
        <v>153</v>
      </c>
      <c r="E100" s="3">
        <v>0</v>
      </c>
      <c r="F100" s="3"/>
      <c r="G100" s="3">
        <v>0</v>
      </c>
      <c r="H100" s="3"/>
      <c r="I100" s="3">
        <v>0</v>
      </c>
      <c r="J100" s="3"/>
      <c r="K100" s="3">
        <v>0</v>
      </c>
      <c r="L100" s="3"/>
      <c r="M100" s="3">
        <v>0</v>
      </c>
      <c r="N100" s="3"/>
      <c r="O100" s="3">
        <v>0</v>
      </c>
      <c r="P100" s="3"/>
      <c r="Q100" s="3">
        <v>0</v>
      </c>
      <c r="R100" s="3"/>
      <c r="S100" s="3">
        <v>0</v>
      </c>
      <c r="T100" s="3"/>
      <c r="U100" s="3">
        <v>0</v>
      </c>
      <c r="V100" s="3"/>
      <c r="W100" s="3">
        <v>0</v>
      </c>
      <c r="X100" s="3"/>
      <c r="Y100" s="3">
        <v>0</v>
      </c>
      <c r="Z100" s="3"/>
      <c r="AA100" s="3">
        <v>0</v>
      </c>
      <c r="AB100" s="3"/>
      <c r="AC100" s="3" t="s">
        <v>322</v>
      </c>
      <c r="AD100" s="13"/>
      <c r="AE100" s="13" t="s">
        <v>153</v>
      </c>
      <c r="AF100" s="13"/>
      <c r="AG100" s="3">
        <v>0</v>
      </c>
      <c r="AH100" s="3"/>
      <c r="AI100" s="3">
        <v>0</v>
      </c>
      <c r="AJ100" s="3"/>
      <c r="AK100" s="3"/>
      <c r="AL100" s="3"/>
      <c r="AM100" s="3">
        <v>0</v>
      </c>
      <c r="AN100" s="3"/>
      <c r="AO100" s="3">
        <v>0</v>
      </c>
      <c r="AP100" s="3"/>
      <c r="AQ100" s="3">
        <v>0</v>
      </c>
      <c r="AR100" s="3"/>
      <c r="AS100" s="3">
        <v>0</v>
      </c>
      <c r="AT100" s="3"/>
      <c r="AU100" s="3">
        <v>0</v>
      </c>
      <c r="AV100" s="3"/>
      <c r="AW100" s="3"/>
      <c r="AX100" s="3"/>
      <c r="AY100" s="3">
        <v>0</v>
      </c>
      <c r="AZ100" s="3"/>
      <c r="BA100" s="3">
        <f t="shared" si="2"/>
        <v>0</v>
      </c>
      <c r="BB100" s="3"/>
      <c r="BC100" s="3">
        <f>+'St of Act-Rev'!AE100-BA100</f>
        <v>0</v>
      </c>
      <c r="BD100" s="3"/>
      <c r="BE100" s="3">
        <v>0</v>
      </c>
      <c r="BF100" s="3"/>
      <c r="BG100" s="3">
        <f t="shared" si="3"/>
        <v>0</v>
      </c>
      <c r="BH100" s="3"/>
      <c r="BI100" s="3">
        <f>+'St of Net Assets'!Y100-BG100</f>
        <v>0</v>
      </c>
    </row>
    <row r="101" spans="1:61">
      <c r="A101" s="3" t="s">
        <v>323</v>
      </c>
      <c r="B101" s="13"/>
      <c r="C101" s="13" t="s">
        <v>178</v>
      </c>
      <c r="E101" s="3">
        <v>1802789</v>
      </c>
      <c r="F101" s="3"/>
      <c r="G101" s="3">
        <v>5926244</v>
      </c>
      <c r="H101" s="3"/>
      <c r="I101" s="3">
        <v>63679</v>
      </c>
      <c r="J101" s="3"/>
      <c r="K101" s="3">
        <v>34156</v>
      </c>
      <c r="L101" s="3"/>
      <c r="M101" s="3">
        <v>0</v>
      </c>
      <c r="N101" s="3"/>
      <c r="O101" s="3">
        <v>5332952</v>
      </c>
      <c r="P101" s="3"/>
      <c r="Q101" s="3">
        <v>5900650</v>
      </c>
      <c r="R101" s="3"/>
      <c r="S101" s="3">
        <v>48533</v>
      </c>
      <c r="T101" s="3"/>
      <c r="U101" s="3">
        <v>1097068</v>
      </c>
      <c r="V101" s="3"/>
      <c r="W101" s="3">
        <v>665218</v>
      </c>
      <c r="X101" s="3"/>
      <c r="Y101" s="3">
        <v>321027</v>
      </c>
      <c r="Z101" s="3"/>
      <c r="AA101" s="3">
        <v>355793</v>
      </c>
      <c r="AB101" s="3"/>
      <c r="AC101" s="3" t="s">
        <v>323</v>
      </c>
      <c r="AD101" s="13"/>
      <c r="AE101" s="13" t="s">
        <v>178</v>
      </c>
      <c r="AF101" s="13"/>
      <c r="AG101" s="3">
        <v>49173</v>
      </c>
      <c r="AH101" s="3"/>
      <c r="AI101" s="3">
        <v>676464</v>
      </c>
      <c r="AJ101" s="3"/>
      <c r="AK101" s="3"/>
      <c r="AL101" s="3"/>
      <c r="AM101" s="3">
        <v>0</v>
      </c>
      <c r="AN101" s="3"/>
      <c r="AO101" s="3">
        <v>185303</v>
      </c>
      <c r="AP101" s="3"/>
      <c r="AQ101" s="3">
        <v>1756</v>
      </c>
      <c r="AR101" s="3"/>
      <c r="AS101" s="3">
        <v>0</v>
      </c>
      <c r="AT101" s="3"/>
      <c r="AU101" s="3">
        <v>0</v>
      </c>
      <c r="AV101" s="3"/>
      <c r="AW101" s="3"/>
      <c r="AX101" s="3"/>
      <c r="AY101" s="3">
        <v>0</v>
      </c>
      <c r="AZ101" s="3"/>
      <c r="BA101" s="3">
        <f t="shared" si="2"/>
        <v>22460805</v>
      </c>
      <c r="BB101" s="3"/>
      <c r="BC101" s="3">
        <f>+'St of Act-Rev'!AE101-BA101</f>
        <v>-69017</v>
      </c>
      <c r="BD101" s="3"/>
      <c r="BE101" s="3">
        <v>4044928</v>
      </c>
      <c r="BF101" s="3"/>
      <c r="BG101" s="3">
        <f t="shared" si="3"/>
        <v>3975911</v>
      </c>
      <c r="BH101" s="3"/>
      <c r="BI101" s="3">
        <f>+'St of Net Assets'!Y101-BG101</f>
        <v>0</v>
      </c>
    </row>
    <row r="102" spans="1:61">
      <c r="A102" s="3" t="s">
        <v>179</v>
      </c>
      <c r="B102" s="13"/>
      <c r="C102" s="13" t="s">
        <v>180</v>
      </c>
      <c r="E102" s="3">
        <v>988271</v>
      </c>
      <c r="F102" s="3"/>
      <c r="G102" s="3">
        <v>179886</v>
      </c>
      <c r="H102" s="3"/>
      <c r="I102" s="3">
        <v>0</v>
      </c>
      <c r="J102" s="3"/>
      <c r="K102" s="3">
        <v>170585</v>
      </c>
      <c r="L102" s="3"/>
      <c r="M102" s="3">
        <v>501</v>
      </c>
      <c r="N102" s="3"/>
      <c r="O102" s="3">
        <v>823260</v>
      </c>
      <c r="P102" s="3"/>
      <c r="Q102" s="3">
        <v>2738926</v>
      </c>
      <c r="R102" s="3"/>
      <c r="S102" s="3">
        <v>40352</v>
      </c>
      <c r="T102" s="3"/>
      <c r="U102" s="3">
        <v>261537</v>
      </c>
      <c r="V102" s="3"/>
      <c r="W102" s="3">
        <v>260163</v>
      </c>
      <c r="X102" s="3"/>
      <c r="Y102" s="3">
        <v>280056</v>
      </c>
      <c r="Z102" s="3"/>
      <c r="AA102" s="3">
        <v>13</v>
      </c>
      <c r="AB102" s="3"/>
      <c r="AC102" s="3" t="s">
        <v>179</v>
      </c>
      <c r="AD102" s="13"/>
      <c r="AE102" s="13" t="s">
        <v>180</v>
      </c>
      <c r="AF102" s="13"/>
      <c r="AG102" s="3">
        <v>147630</v>
      </c>
      <c r="AH102" s="3"/>
      <c r="AI102" s="3">
        <v>282688</v>
      </c>
      <c r="AJ102" s="3"/>
      <c r="AK102" s="3"/>
      <c r="AL102" s="3"/>
      <c r="AM102" s="3">
        <v>0</v>
      </c>
      <c r="AN102" s="3"/>
      <c r="AO102" s="3">
        <v>9748</v>
      </c>
      <c r="AP102" s="3"/>
      <c r="AQ102" s="3">
        <v>16393</v>
      </c>
      <c r="AR102" s="3"/>
      <c r="AS102" s="3">
        <v>0</v>
      </c>
      <c r="AT102" s="3"/>
      <c r="AU102" s="3">
        <v>0</v>
      </c>
      <c r="AV102" s="3"/>
      <c r="AW102" s="3"/>
      <c r="AX102" s="3"/>
      <c r="AY102" s="3">
        <v>0</v>
      </c>
      <c r="AZ102" s="3"/>
      <c r="BA102" s="3">
        <f t="shared" si="2"/>
        <v>6200009</v>
      </c>
      <c r="BB102" s="3"/>
      <c r="BC102" s="3">
        <f>+'St of Act-Rev'!AE102-BA102</f>
        <v>-274182</v>
      </c>
      <c r="BD102" s="3"/>
      <c r="BE102" s="3">
        <v>1716997</v>
      </c>
      <c r="BF102" s="3"/>
      <c r="BG102" s="3">
        <f t="shared" si="3"/>
        <v>1442815</v>
      </c>
      <c r="BH102" s="3"/>
      <c r="BI102" s="3">
        <f>+'St of Net Assets'!Y102-BG102</f>
        <v>0</v>
      </c>
    </row>
    <row r="103" spans="1:61" hidden="1">
      <c r="A103" s="3" t="s">
        <v>324</v>
      </c>
      <c r="B103" s="13"/>
      <c r="C103" s="13" t="s">
        <v>181</v>
      </c>
      <c r="E103" s="3">
        <v>0</v>
      </c>
      <c r="F103" s="3"/>
      <c r="G103" s="3">
        <v>0</v>
      </c>
      <c r="H103" s="3"/>
      <c r="I103" s="3">
        <v>0</v>
      </c>
      <c r="J103" s="3"/>
      <c r="K103" s="3">
        <v>0</v>
      </c>
      <c r="L103" s="3"/>
      <c r="M103" s="3">
        <v>0</v>
      </c>
      <c r="N103" s="3"/>
      <c r="O103" s="3">
        <v>0</v>
      </c>
      <c r="P103" s="3"/>
      <c r="Q103" s="3">
        <v>0</v>
      </c>
      <c r="R103" s="3"/>
      <c r="S103" s="3">
        <v>0</v>
      </c>
      <c r="T103" s="3"/>
      <c r="U103" s="3">
        <v>0</v>
      </c>
      <c r="V103" s="3"/>
      <c r="W103" s="3">
        <v>0</v>
      </c>
      <c r="X103" s="3"/>
      <c r="Y103" s="3">
        <v>0</v>
      </c>
      <c r="Z103" s="3"/>
      <c r="AA103" s="3">
        <v>0</v>
      </c>
      <c r="AB103" s="3"/>
      <c r="AC103" s="3" t="s">
        <v>324</v>
      </c>
      <c r="AD103" s="13"/>
      <c r="AE103" s="13" t="s">
        <v>181</v>
      </c>
      <c r="AF103" s="13"/>
      <c r="AG103" s="3">
        <v>0</v>
      </c>
      <c r="AH103" s="3"/>
      <c r="AI103" s="3">
        <v>0</v>
      </c>
      <c r="AJ103" s="3"/>
      <c r="AK103" s="3"/>
      <c r="AL103" s="3"/>
      <c r="AM103" s="3">
        <v>0</v>
      </c>
      <c r="AN103" s="3"/>
      <c r="AO103" s="3">
        <v>0</v>
      </c>
      <c r="AP103" s="3"/>
      <c r="AQ103" s="3">
        <v>0</v>
      </c>
      <c r="AR103" s="3"/>
      <c r="AS103" s="3">
        <v>0</v>
      </c>
      <c r="AT103" s="3"/>
      <c r="AU103" s="3">
        <v>0</v>
      </c>
      <c r="AV103" s="3"/>
      <c r="AW103" s="3"/>
      <c r="AX103" s="3"/>
      <c r="AY103" s="3">
        <v>0</v>
      </c>
      <c r="AZ103" s="3"/>
      <c r="BA103" s="3">
        <f t="shared" si="2"/>
        <v>0</v>
      </c>
      <c r="BB103" s="3"/>
      <c r="BC103" s="3">
        <f>+'St of Act-Rev'!AE103-BA103</f>
        <v>0</v>
      </c>
      <c r="BD103" s="3"/>
      <c r="BE103" s="3">
        <v>0</v>
      </c>
      <c r="BF103" s="3"/>
      <c r="BG103" s="3">
        <f t="shared" si="3"/>
        <v>0</v>
      </c>
      <c r="BH103" s="3"/>
      <c r="BI103" s="3">
        <f>+'St of Net Assets'!Y103-BG103</f>
        <v>0</v>
      </c>
    </row>
    <row r="104" spans="1:61">
      <c r="A104" s="3" t="s">
        <v>325</v>
      </c>
      <c r="B104" s="13"/>
      <c r="C104" s="13" t="s">
        <v>182</v>
      </c>
      <c r="E104" s="3">
        <v>238648</v>
      </c>
      <c r="F104" s="3"/>
      <c r="G104" s="3">
        <v>4944897</v>
      </c>
      <c r="H104" s="3"/>
      <c r="I104" s="3">
        <v>0</v>
      </c>
      <c r="J104" s="3"/>
      <c r="K104" s="3">
        <v>0</v>
      </c>
      <c r="L104" s="3"/>
      <c r="M104" s="3">
        <v>0</v>
      </c>
      <c r="N104" s="3"/>
      <c r="O104" s="3">
        <v>2808433</v>
      </c>
      <c r="P104" s="3"/>
      <c r="Q104" s="3">
        <v>2654379</v>
      </c>
      <c r="R104" s="3"/>
      <c r="S104" s="3">
        <v>16100</v>
      </c>
      <c r="T104" s="3"/>
      <c r="U104" s="3">
        <v>1000430</v>
      </c>
      <c r="V104" s="3"/>
      <c r="W104" s="3">
        <v>218742</v>
      </c>
      <c r="X104" s="3"/>
      <c r="Y104" s="3">
        <v>0</v>
      </c>
      <c r="Z104" s="3"/>
      <c r="AA104" s="3">
        <v>49956</v>
      </c>
      <c r="AB104" s="3"/>
      <c r="AC104" s="3" t="s">
        <v>325</v>
      </c>
      <c r="AD104" s="13"/>
      <c r="AE104" s="13" t="s">
        <v>182</v>
      </c>
      <c r="AF104" s="13"/>
      <c r="AG104" s="3">
        <v>11533</v>
      </c>
      <c r="AH104" s="3"/>
      <c r="AI104" s="3">
        <v>199080</v>
      </c>
      <c r="AJ104" s="3"/>
      <c r="AK104" s="3"/>
      <c r="AL104" s="3"/>
      <c r="AM104" s="3">
        <v>0</v>
      </c>
      <c r="AN104" s="3"/>
      <c r="AO104" s="3">
        <v>0</v>
      </c>
      <c r="AP104" s="3"/>
      <c r="AQ104" s="3">
        <v>1518</v>
      </c>
      <c r="AR104" s="3"/>
      <c r="AS104" s="3">
        <v>5997</v>
      </c>
      <c r="AT104" s="3"/>
      <c r="AU104" s="3">
        <v>0</v>
      </c>
      <c r="AV104" s="3"/>
      <c r="AW104" s="3"/>
      <c r="AX104" s="3"/>
      <c r="AY104" s="3">
        <v>0</v>
      </c>
      <c r="AZ104" s="3"/>
      <c r="BA104" s="3">
        <f t="shared" si="2"/>
        <v>12149713</v>
      </c>
      <c r="BB104" s="3"/>
      <c r="BC104" s="3">
        <f>+'St of Act-Rev'!AE104-BA104</f>
        <v>653647</v>
      </c>
      <c r="BD104" s="3"/>
      <c r="BE104" s="3">
        <v>2764379</v>
      </c>
      <c r="BF104" s="3"/>
      <c r="BG104" s="3">
        <f t="shared" si="3"/>
        <v>3418026</v>
      </c>
      <c r="BH104" s="3"/>
      <c r="BI104" s="3">
        <f>+'St of Net Assets'!Y104-BG104</f>
        <v>0</v>
      </c>
    </row>
    <row r="105" spans="1:61" hidden="1">
      <c r="A105" s="3" t="s">
        <v>280</v>
      </c>
      <c r="B105" s="3"/>
      <c r="C105" s="3" t="s">
        <v>191</v>
      </c>
      <c r="E105" s="3">
        <v>0</v>
      </c>
      <c r="F105" s="3"/>
      <c r="G105" s="3">
        <v>0</v>
      </c>
      <c r="H105" s="3"/>
      <c r="I105" s="3">
        <v>0</v>
      </c>
      <c r="J105" s="3"/>
      <c r="K105" s="3">
        <v>0</v>
      </c>
      <c r="L105" s="3"/>
      <c r="M105" s="3">
        <v>0</v>
      </c>
      <c r="N105" s="3"/>
      <c r="O105" s="3">
        <v>0</v>
      </c>
      <c r="P105" s="3"/>
      <c r="Q105" s="3">
        <v>0</v>
      </c>
      <c r="R105" s="3"/>
      <c r="S105" s="3">
        <v>0</v>
      </c>
      <c r="T105" s="3"/>
      <c r="U105" s="3">
        <v>0</v>
      </c>
      <c r="V105" s="3"/>
      <c r="W105" s="3">
        <v>0</v>
      </c>
      <c r="X105" s="3"/>
      <c r="Y105" s="3">
        <v>0</v>
      </c>
      <c r="Z105" s="3"/>
      <c r="AA105" s="3">
        <v>0</v>
      </c>
      <c r="AB105" s="3"/>
      <c r="AC105" s="3" t="s">
        <v>280</v>
      </c>
      <c r="AD105" s="3"/>
      <c r="AE105" s="3" t="s">
        <v>191</v>
      </c>
      <c r="AF105" s="3"/>
      <c r="AG105" s="3">
        <v>0</v>
      </c>
      <c r="AH105" s="3"/>
      <c r="AI105" s="3">
        <v>0</v>
      </c>
      <c r="AJ105" s="3"/>
      <c r="AK105" s="3"/>
      <c r="AL105" s="3"/>
      <c r="AM105" s="3">
        <v>0</v>
      </c>
      <c r="AN105" s="3"/>
      <c r="AO105" s="3">
        <v>0</v>
      </c>
      <c r="AP105" s="3"/>
      <c r="AQ105" s="3">
        <v>0</v>
      </c>
      <c r="AR105" s="3"/>
      <c r="AS105" s="3">
        <v>0</v>
      </c>
      <c r="AT105" s="3"/>
      <c r="AU105" s="3">
        <v>0</v>
      </c>
      <c r="AV105" s="3"/>
      <c r="AW105" s="3"/>
      <c r="AX105" s="3"/>
      <c r="AY105" s="3">
        <v>0</v>
      </c>
      <c r="AZ105" s="3"/>
      <c r="BA105" s="3">
        <f>SUM(E105:AZ105)</f>
        <v>0</v>
      </c>
      <c r="BB105" s="3"/>
      <c r="BC105" s="3">
        <f>+'St of Act-Rev'!AE105-BA105</f>
        <v>0</v>
      </c>
      <c r="BD105" s="3"/>
      <c r="BE105" s="3">
        <v>0</v>
      </c>
      <c r="BF105" s="3"/>
      <c r="BG105" s="3">
        <f>+BC105+BE105</f>
        <v>0</v>
      </c>
      <c r="BH105" s="3"/>
      <c r="BI105" s="3">
        <f>+'St of Net Assets'!Y105-BG105</f>
        <v>0</v>
      </c>
    </row>
    <row r="106" spans="1:61">
      <c r="A106" s="3" t="s">
        <v>326</v>
      </c>
      <c r="B106" s="13"/>
      <c r="C106" s="13" t="s">
        <v>183</v>
      </c>
      <c r="E106" s="3">
        <v>0</v>
      </c>
      <c r="F106" s="3"/>
      <c r="G106" s="3">
        <v>6072575</v>
      </c>
      <c r="H106" s="3"/>
      <c r="I106" s="3">
        <v>0</v>
      </c>
      <c r="J106" s="3"/>
      <c r="K106" s="3">
        <v>0</v>
      </c>
      <c r="L106" s="3"/>
      <c r="M106" s="3">
        <v>0</v>
      </c>
      <c r="N106" s="3"/>
      <c r="O106" s="3">
        <v>8798190</v>
      </c>
      <c r="P106" s="3"/>
      <c r="Q106" s="3">
        <v>9181999</v>
      </c>
      <c r="R106" s="3"/>
      <c r="S106" s="3">
        <v>0</v>
      </c>
      <c r="T106" s="3"/>
      <c r="U106" s="3">
        <f>88273+1631817</f>
        <v>1720090</v>
      </c>
      <c r="V106" s="3"/>
      <c r="W106" s="3">
        <v>629057</v>
      </c>
      <c r="X106" s="3"/>
      <c r="Y106" s="3">
        <v>3420</v>
      </c>
      <c r="Z106" s="3"/>
      <c r="AA106" s="3">
        <v>1512595</v>
      </c>
      <c r="AB106" s="3"/>
      <c r="AC106" s="3" t="s">
        <v>326</v>
      </c>
      <c r="AD106" s="13"/>
      <c r="AE106" s="13" t="s">
        <v>183</v>
      </c>
      <c r="AF106" s="13"/>
      <c r="AG106" s="3">
        <v>958497</v>
      </c>
      <c r="AH106" s="3"/>
      <c r="AI106" s="3">
        <v>1000008</v>
      </c>
      <c r="AJ106" s="3"/>
      <c r="AK106" s="3"/>
      <c r="AL106" s="3"/>
      <c r="AM106" s="3">
        <v>0</v>
      </c>
      <c r="AN106" s="3"/>
      <c r="AO106" s="3">
        <v>225413</v>
      </c>
      <c r="AP106" s="3"/>
      <c r="AQ106" s="3">
        <v>0</v>
      </c>
      <c r="AR106" s="3"/>
      <c r="AS106" s="3">
        <v>2535</v>
      </c>
      <c r="AT106" s="3"/>
      <c r="AU106" s="3">
        <v>0</v>
      </c>
      <c r="AV106" s="3"/>
      <c r="AW106" s="3"/>
      <c r="AX106" s="3"/>
      <c r="AY106" s="3">
        <v>0</v>
      </c>
      <c r="AZ106" s="3"/>
      <c r="BA106" s="3">
        <f t="shared" si="2"/>
        <v>30104379</v>
      </c>
      <c r="BB106" s="3"/>
      <c r="BC106" s="3">
        <f>+'St of Act-Rev'!AE106-BA106</f>
        <v>785515</v>
      </c>
      <c r="BD106" s="3"/>
      <c r="BE106" s="3">
        <v>19031922</v>
      </c>
      <c r="BF106" s="3"/>
      <c r="BG106" s="3">
        <f t="shared" si="3"/>
        <v>19817437</v>
      </c>
      <c r="BH106" s="3"/>
      <c r="BI106" s="3">
        <f>+'St of Net Assets'!Y106-BG106</f>
        <v>0</v>
      </c>
    </row>
    <row r="107" spans="1:61">
      <c r="A107" s="3" t="s">
        <v>184</v>
      </c>
      <c r="B107" s="13"/>
      <c r="C107" s="13" t="s">
        <v>185</v>
      </c>
      <c r="E107" s="3">
        <v>999545</v>
      </c>
      <c r="F107" s="3"/>
      <c r="G107" s="3">
        <v>4683031</v>
      </c>
      <c r="H107" s="3"/>
      <c r="I107" s="3">
        <v>0</v>
      </c>
      <c r="J107" s="3"/>
      <c r="K107" s="3">
        <v>36747</v>
      </c>
      <c r="L107" s="3"/>
      <c r="M107" s="3">
        <v>237221</v>
      </c>
      <c r="N107" s="3"/>
      <c r="O107" s="3">
        <v>3580874</v>
      </c>
      <c r="P107" s="3"/>
      <c r="Q107" s="3">
        <v>5129884</v>
      </c>
      <c r="R107" s="3"/>
      <c r="S107" s="3">
        <v>74624</v>
      </c>
      <c r="T107" s="3"/>
      <c r="U107" s="3">
        <v>1380595</v>
      </c>
      <c r="V107" s="3"/>
      <c r="W107" s="3">
        <v>579213</v>
      </c>
      <c r="X107" s="3"/>
      <c r="Y107" s="3">
        <v>0</v>
      </c>
      <c r="Z107" s="3"/>
      <c r="AA107" s="3">
        <v>208449</v>
      </c>
      <c r="AB107" s="3"/>
      <c r="AC107" s="3" t="s">
        <v>184</v>
      </c>
      <c r="AD107" s="13"/>
      <c r="AE107" s="13" t="s">
        <v>185</v>
      </c>
      <c r="AF107" s="13"/>
      <c r="AG107" s="3">
        <v>54071</v>
      </c>
      <c r="AH107" s="3"/>
      <c r="AI107" s="3">
        <v>412822</v>
      </c>
      <c r="AJ107" s="3"/>
      <c r="AK107" s="3"/>
      <c r="AL107" s="3"/>
      <c r="AM107" s="3">
        <v>0</v>
      </c>
      <c r="AN107" s="3"/>
      <c r="AO107" s="3">
        <v>268697</v>
      </c>
      <c r="AP107" s="3"/>
      <c r="AQ107" s="3">
        <v>14133</v>
      </c>
      <c r="AR107" s="3"/>
      <c r="AS107" s="3">
        <v>1757</v>
      </c>
      <c r="AT107" s="3"/>
      <c r="AU107" s="3">
        <v>0</v>
      </c>
      <c r="AV107" s="3"/>
      <c r="AW107" s="3"/>
      <c r="AX107" s="3"/>
      <c r="AY107" s="3">
        <v>0</v>
      </c>
      <c r="AZ107" s="3"/>
      <c r="BA107" s="3">
        <f t="shared" si="2"/>
        <v>17661663</v>
      </c>
      <c r="BB107" s="3"/>
      <c r="BC107" s="3">
        <f>+'St of Act-Rev'!AE107-BA107</f>
        <v>-47962</v>
      </c>
      <c r="BD107" s="3"/>
      <c r="BE107" s="3">
        <v>3180430</v>
      </c>
      <c r="BF107" s="3"/>
      <c r="BG107" s="3">
        <f t="shared" si="3"/>
        <v>3132468</v>
      </c>
      <c r="BH107" s="3"/>
      <c r="BI107" s="3">
        <f>+'St of Net Assets'!Y107-BG107</f>
        <v>0</v>
      </c>
    </row>
    <row r="108" spans="1:61">
      <c r="A108" s="3" t="s">
        <v>268</v>
      </c>
      <c r="B108" s="13"/>
      <c r="C108" s="13" t="s">
        <v>195</v>
      </c>
      <c r="E108" s="3">
        <v>1196344</v>
      </c>
      <c r="F108" s="3"/>
      <c r="G108" s="3">
        <v>4675441</v>
      </c>
      <c r="H108" s="3"/>
      <c r="I108" s="3">
        <v>0</v>
      </c>
      <c r="J108" s="3"/>
      <c r="K108" s="3">
        <v>0</v>
      </c>
      <c r="L108" s="3"/>
      <c r="M108" s="3">
        <v>17392</v>
      </c>
      <c r="N108" s="3"/>
      <c r="O108" s="3">
        <v>4535131</v>
      </c>
      <c r="P108" s="3"/>
      <c r="Q108" s="3">
        <v>3952256</v>
      </c>
      <c r="R108" s="3"/>
      <c r="S108" s="3">
        <v>100267</v>
      </c>
      <c r="T108" s="3"/>
      <c r="U108" s="3">
        <v>1576602</v>
      </c>
      <c r="V108" s="3"/>
      <c r="W108" s="3">
        <v>681216</v>
      </c>
      <c r="X108" s="3"/>
      <c r="Y108" s="3">
        <v>197803</v>
      </c>
      <c r="Z108" s="3"/>
      <c r="AA108" s="3">
        <v>603344</v>
      </c>
      <c r="AB108" s="3"/>
      <c r="AC108" s="3" t="s">
        <v>268</v>
      </c>
      <c r="AD108" s="13"/>
      <c r="AE108" s="13" t="s">
        <v>195</v>
      </c>
      <c r="AF108" s="13"/>
      <c r="AG108" s="3">
        <v>152256</v>
      </c>
      <c r="AH108" s="3"/>
      <c r="AI108" s="3">
        <v>938121</v>
      </c>
      <c r="AJ108" s="3"/>
      <c r="AK108" s="3"/>
      <c r="AL108" s="3"/>
      <c r="AM108" s="3">
        <v>56687</v>
      </c>
      <c r="AN108" s="3"/>
      <c r="AO108" s="3">
        <v>214299</v>
      </c>
      <c r="AP108" s="3"/>
      <c r="AQ108" s="3">
        <v>1335</v>
      </c>
      <c r="AR108" s="3"/>
      <c r="AS108" s="3">
        <v>126603</v>
      </c>
      <c r="AT108" s="3"/>
      <c r="AU108" s="3">
        <v>0</v>
      </c>
      <c r="AV108" s="3"/>
      <c r="AW108" s="3"/>
      <c r="AX108" s="3"/>
      <c r="AY108" s="3">
        <v>0</v>
      </c>
      <c r="AZ108" s="3"/>
      <c r="BA108" s="3">
        <f t="shared" si="2"/>
        <v>19025097</v>
      </c>
      <c r="BB108" s="3"/>
      <c r="BC108" s="3">
        <f>+'St of Act-Rev'!AE108-BA108</f>
        <v>-292281</v>
      </c>
      <c r="BD108" s="3"/>
      <c r="BE108" s="3">
        <v>963550</v>
      </c>
      <c r="BF108" s="3"/>
      <c r="BG108" s="3">
        <f t="shared" si="3"/>
        <v>671269</v>
      </c>
      <c r="BH108" s="3"/>
      <c r="BI108" s="3">
        <f>+'St of Net Assets'!Y108-BG108</f>
        <v>0</v>
      </c>
    </row>
    <row r="109" spans="1:61">
      <c r="A109" s="13" t="s">
        <v>305</v>
      </c>
      <c r="B109" s="13"/>
      <c r="C109" s="13" t="s">
        <v>162</v>
      </c>
      <c r="E109" s="3">
        <v>375893</v>
      </c>
      <c r="F109" s="3"/>
      <c r="G109" s="3">
        <v>5349145</v>
      </c>
      <c r="H109" s="3"/>
      <c r="I109" s="3">
        <v>0</v>
      </c>
      <c r="J109" s="3"/>
      <c r="K109" s="3">
        <v>0</v>
      </c>
      <c r="L109" s="3"/>
      <c r="M109" s="3">
        <v>0</v>
      </c>
      <c r="N109" s="3"/>
      <c r="O109" s="3">
        <v>5416413</v>
      </c>
      <c r="P109" s="3"/>
      <c r="Q109" s="3">
        <v>6639041</v>
      </c>
      <c r="R109" s="3"/>
      <c r="S109" s="3">
        <v>109437</v>
      </c>
      <c r="T109" s="3"/>
      <c r="U109" s="3">
        <v>591260</v>
      </c>
      <c r="V109" s="3"/>
      <c r="W109" s="3">
        <v>404363</v>
      </c>
      <c r="X109" s="3"/>
      <c r="Y109" s="3">
        <v>153112</v>
      </c>
      <c r="Z109" s="3"/>
      <c r="AA109" s="3">
        <v>522112</v>
      </c>
      <c r="AB109" s="3"/>
      <c r="AC109" s="13" t="s">
        <v>305</v>
      </c>
      <c r="AD109" s="13"/>
      <c r="AE109" s="13" t="s">
        <v>162</v>
      </c>
      <c r="AF109" s="13"/>
      <c r="AG109" s="3">
        <v>0</v>
      </c>
      <c r="AH109" s="3"/>
      <c r="AI109" s="3">
        <v>34623</v>
      </c>
      <c r="AJ109" s="3"/>
      <c r="AK109" s="3"/>
      <c r="AL109" s="3"/>
      <c r="AM109" s="3">
        <v>0</v>
      </c>
      <c r="AN109" s="3"/>
      <c r="AO109" s="3">
        <v>105203</v>
      </c>
      <c r="AP109" s="3"/>
      <c r="AQ109" s="3">
        <v>23279</v>
      </c>
      <c r="AR109" s="3"/>
      <c r="AS109" s="3">
        <v>0</v>
      </c>
      <c r="AT109" s="3"/>
      <c r="AU109" s="3">
        <v>0</v>
      </c>
      <c r="AV109" s="3"/>
      <c r="AW109" s="3"/>
      <c r="AX109" s="3"/>
      <c r="AY109" s="3">
        <v>0</v>
      </c>
      <c r="AZ109" s="3"/>
      <c r="BA109" s="3">
        <f t="shared" ref="BA109" si="4">SUM(E109:AZ109)</f>
        <v>19723881</v>
      </c>
      <c r="BB109" s="3"/>
      <c r="BC109" s="3">
        <f>+'St of Act-Rev'!AE109-BA109</f>
        <v>23947</v>
      </c>
      <c r="BD109" s="3"/>
      <c r="BE109" s="3">
        <v>4022699</v>
      </c>
      <c r="BF109" s="3"/>
      <c r="BG109" s="3">
        <f t="shared" ref="BG109" si="5">+BC109+BE109</f>
        <v>4046646</v>
      </c>
      <c r="BH109" s="3"/>
      <c r="BI109" s="3">
        <f>+'St of Net Assets'!Y109-BG109</f>
        <v>0</v>
      </c>
    </row>
    <row r="110" spans="1:61">
      <c r="A110" s="3" t="s">
        <v>165</v>
      </c>
      <c r="B110" s="13"/>
      <c r="C110" s="3" t="s">
        <v>327</v>
      </c>
      <c r="E110" s="3">
        <v>1346051</v>
      </c>
      <c r="F110" s="3"/>
      <c r="G110" s="3">
        <v>3817696</v>
      </c>
      <c r="H110" s="3"/>
      <c r="I110" s="3">
        <v>0</v>
      </c>
      <c r="J110" s="3"/>
      <c r="K110" s="3">
        <v>0</v>
      </c>
      <c r="L110" s="3"/>
      <c r="M110" s="3">
        <v>0</v>
      </c>
      <c r="N110" s="3"/>
      <c r="O110" s="3">
        <v>5087891</v>
      </c>
      <c r="P110" s="3"/>
      <c r="Q110" s="3">
        <v>7443946</v>
      </c>
      <c r="R110" s="3"/>
      <c r="S110" s="3">
        <v>115839</v>
      </c>
      <c r="T110" s="3"/>
      <c r="U110" s="3">
        <v>716533</v>
      </c>
      <c r="V110" s="3"/>
      <c r="W110" s="3">
        <v>462560</v>
      </c>
      <c r="X110" s="3"/>
      <c r="Y110" s="3">
        <v>74365</v>
      </c>
      <c r="Z110" s="3"/>
      <c r="AA110" s="3">
        <v>445198</v>
      </c>
      <c r="AB110" s="3"/>
      <c r="AC110" s="3" t="s">
        <v>165</v>
      </c>
      <c r="AD110" s="13"/>
      <c r="AE110" s="3" t="s">
        <v>327</v>
      </c>
      <c r="AF110" s="3"/>
      <c r="AG110" s="3">
        <v>231465</v>
      </c>
      <c r="AH110" s="3"/>
      <c r="AI110" s="3">
        <v>165438</v>
      </c>
      <c r="AJ110" s="3"/>
      <c r="AK110" s="3"/>
      <c r="AL110" s="3"/>
      <c r="AM110" s="3">
        <v>0</v>
      </c>
      <c r="AN110" s="3"/>
      <c r="AO110" s="3">
        <v>48634</v>
      </c>
      <c r="AP110" s="3"/>
      <c r="AQ110" s="3">
        <v>0</v>
      </c>
      <c r="AR110" s="3"/>
      <c r="AS110" s="3">
        <v>36854</v>
      </c>
      <c r="AT110" s="3"/>
      <c r="AU110" s="3">
        <v>0</v>
      </c>
      <c r="AV110" s="3"/>
      <c r="AW110" s="3"/>
      <c r="AX110" s="3"/>
      <c r="AY110" s="3">
        <v>2958838</v>
      </c>
      <c r="AZ110" s="3"/>
      <c r="BA110" s="3">
        <f t="shared" si="2"/>
        <v>22951308</v>
      </c>
      <c r="BB110" s="3"/>
      <c r="BC110" s="3">
        <f>+'St of Act-Rev'!AE110-BA110</f>
        <v>71940</v>
      </c>
      <c r="BD110" s="3"/>
      <c r="BE110" s="3">
        <v>6049476</v>
      </c>
      <c r="BF110" s="3"/>
      <c r="BG110" s="3">
        <f t="shared" si="3"/>
        <v>6121416</v>
      </c>
      <c r="BH110" s="3"/>
      <c r="BI110" s="3">
        <f>+'St of Net Assets'!Y110-BG110</f>
        <v>0</v>
      </c>
    </row>
    <row r="111" spans="1:61">
      <c r="A111" s="3" t="s">
        <v>314</v>
      </c>
      <c r="B111" s="13"/>
      <c r="C111" s="3" t="s">
        <v>262</v>
      </c>
      <c r="E111" s="3">
        <v>227079</v>
      </c>
      <c r="F111" s="3"/>
      <c r="G111" s="3">
        <f>2305774+124603</f>
        <v>2430377</v>
      </c>
      <c r="H111" s="3"/>
      <c r="I111" s="3">
        <v>0</v>
      </c>
      <c r="J111" s="3"/>
      <c r="K111" s="3">
        <v>41857</v>
      </c>
      <c r="L111" s="3"/>
      <c r="M111" s="3">
        <v>0</v>
      </c>
      <c r="N111" s="3"/>
      <c r="O111" s="3">
        <v>1720235</v>
      </c>
      <c r="P111" s="3"/>
      <c r="Q111" s="3">
        <v>2402145</v>
      </c>
      <c r="R111" s="3"/>
      <c r="S111" s="3">
        <v>47345</v>
      </c>
      <c r="T111" s="3"/>
      <c r="U111" s="3">
        <v>765288</v>
      </c>
      <c r="V111" s="3"/>
      <c r="W111" s="3">
        <v>288404</v>
      </c>
      <c r="X111" s="3"/>
      <c r="Y111" s="3">
        <v>0</v>
      </c>
      <c r="Z111" s="3"/>
      <c r="AA111" s="3">
        <v>74443</v>
      </c>
      <c r="AB111" s="3"/>
      <c r="AC111" s="3" t="s">
        <v>314</v>
      </c>
      <c r="AD111" s="13"/>
      <c r="AE111" s="3" t="s">
        <v>262</v>
      </c>
      <c r="AF111" s="13"/>
      <c r="AG111" s="3">
        <v>13665</v>
      </c>
      <c r="AH111" s="3"/>
      <c r="AI111" s="3">
        <v>32252</v>
      </c>
      <c r="AJ111" s="3"/>
      <c r="AK111" s="3"/>
      <c r="AL111" s="3"/>
      <c r="AM111" s="3">
        <v>0</v>
      </c>
      <c r="AN111" s="3"/>
      <c r="AO111" s="3">
        <v>2879</v>
      </c>
      <c r="AP111" s="3"/>
      <c r="AQ111" s="3">
        <v>53314</v>
      </c>
      <c r="AR111" s="3"/>
      <c r="AS111" s="3">
        <v>1255</v>
      </c>
      <c r="AT111" s="3"/>
      <c r="AU111" s="3">
        <v>0</v>
      </c>
      <c r="AV111" s="3"/>
      <c r="AW111" s="3"/>
      <c r="AX111" s="3"/>
      <c r="AY111" s="3">
        <v>0</v>
      </c>
      <c r="AZ111" s="3"/>
      <c r="BA111" s="3">
        <f t="shared" si="2"/>
        <v>8100538</v>
      </c>
      <c r="BB111" s="3"/>
      <c r="BC111" s="3">
        <f>+'St of Act-Rev'!AE111-BA111</f>
        <v>287113</v>
      </c>
      <c r="BD111" s="3"/>
      <c r="BE111" s="3">
        <v>1205740</v>
      </c>
      <c r="BF111" s="3"/>
      <c r="BG111" s="3">
        <f t="shared" si="3"/>
        <v>1492853</v>
      </c>
      <c r="BH111" s="3"/>
      <c r="BI111" s="3">
        <f>+'St of Net Assets'!Y111-BG111</f>
        <v>0</v>
      </c>
    </row>
    <row r="112" spans="1:61" hidden="1">
      <c r="A112" s="3" t="s">
        <v>364</v>
      </c>
      <c r="B112" s="13"/>
      <c r="C112" s="13" t="s">
        <v>186</v>
      </c>
      <c r="E112" s="3">
        <v>0</v>
      </c>
      <c r="F112" s="3"/>
      <c r="G112" s="3">
        <v>0</v>
      </c>
      <c r="H112" s="3"/>
      <c r="I112" s="3">
        <v>0</v>
      </c>
      <c r="J112" s="3"/>
      <c r="K112" s="3">
        <v>0</v>
      </c>
      <c r="L112" s="3"/>
      <c r="M112" s="3">
        <v>0</v>
      </c>
      <c r="N112" s="3"/>
      <c r="O112" s="3">
        <v>0</v>
      </c>
      <c r="P112" s="3"/>
      <c r="Q112" s="3">
        <v>0</v>
      </c>
      <c r="R112" s="3"/>
      <c r="S112" s="3">
        <v>0</v>
      </c>
      <c r="T112" s="3"/>
      <c r="U112" s="3">
        <v>0</v>
      </c>
      <c r="V112" s="3"/>
      <c r="W112" s="3">
        <v>0</v>
      </c>
      <c r="X112" s="3"/>
      <c r="Y112" s="3">
        <v>0</v>
      </c>
      <c r="Z112" s="3"/>
      <c r="AA112" s="3">
        <v>0</v>
      </c>
      <c r="AB112" s="3"/>
      <c r="AC112" s="3" t="s">
        <v>364</v>
      </c>
      <c r="AD112" s="13"/>
      <c r="AE112" s="13" t="s">
        <v>186</v>
      </c>
      <c r="AF112" s="13"/>
      <c r="AG112" s="3">
        <v>0</v>
      </c>
      <c r="AH112" s="3"/>
      <c r="AI112" s="3">
        <v>0</v>
      </c>
      <c r="AJ112" s="3"/>
      <c r="AK112" s="3"/>
      <c r="AL112" s="3"/>
      <c r="AM112" s="3">
        <v>0</v>
      </c>
      <c r="AN112" s="3"/>
      <c r="AO112" s="3">
        <v>0</v>
      </c>
      <c r="AP112" s="3"/>
      <c r="AQ112" s="3">
        <v>0</v>
      </c>
      <c r="AR112" s="3"/>
      <c r="AS112" s="3">
        <v>0</v>
      </c>
      <c r="AT112" s="3"/>
      <c r="AU112" s="3">
        <v>0</v>
      </c>
      <c r="AV112" s="3"/>
      <c r="AW112" s="3"/>
      <c r="AX112" s="3"/>
      <c r="AY112" s="3">
        <v>0</v>
      </c>
      <c r="AZ112" s="3"/>
      <c r="BA112" s="3">
        <f t="shared" si="2"/>
        <v>0</v>
      </c>
      <c r="BB112" s="3"/>
      <c r="BC112" s="3">
        <f>+'St of Act-Rev'!AE112-BA112</f>
        <v>0</v>
      </c>
      <c r="BD112" s="3"/>
      <c r="BE112" s="3"/>
      <c r="BF112" s="3"/>
      <c r="BG112" s="3">
        <f t="shared" si="3"/>
        <v>0</v>
      </c>
      <c r="BH112" s="3"/>
      <c r="BI112" s="3">
        <f>+'St of Net Assets'!Y112-BG112</f>
        <v>0</v>
      </c>
    </row>
    <row r="113" spans="1:61">
      <c r="A113" s="3" t="s">
        <v>338</v>
      </c>
      <c r="B113" s="13"/>
      <c r="C113" s="13" t="s">
        <v>187</v>
      </c>
      <c r="E113" s="3">
        <v>65678</v>
      </c>
      <c r="F113" s="3"/>
      <c r="G113" s="3">
        <v>356023</v>
      </c>
      <c r="H113" s="3"/>
      <c r="I113" s="3">
        <v>0</v>
      </c>
      <c r="J113" s="3"/>
      <c r="K113" s="3">
        <v>63625</v>
      </c>
      <c r="L113" s="3"/>
      <c r="M113" s="3">
        <v>26423</v>
      </c>
      <c r="N113" s="3"/>
      <c r="O113" s="3">
        <v>1957609</v>
      </c>
      <c r="P113" s="3"/>
      <c r="Q113" s="3">
        <v>515641</v>
      </c>
      <c r="R113" s="3"/>
      <c r="S113" s="3">
        <v>40359</v>
      </c>
      <c r="T113" s="3"/>
      <c r="U113" s="3">
        <v>385789</v>
      </c>
      <c r="V113" s="3"/>
      <c r="W113" s="3">
        <v>156582</v>
      </c>
      <c r="X113" s="3"/>
      <c r="Y113" s="3">
        <v>18747</v>
      </c>
      <c r="Z113" s="3"/>
      <c r="AA113" s="3">
        <v>167981</v>
      </c>
      <c r="AB113" s="3"/>
      <c r="AC113" s="3" t="s">
        <v>338</v>
      </c>
      <c r="AD113" s="13"/>
      <c r="AE113" s="13" t="s">
        <v>187</v>
      </c>
      <c r="AF113" s="13"/>
      <c r="AG113" s="3">
        <v>168836</v>
      </c>
      <c r="AH113" s="3"/>
      <c r="AI113" s="3">
        <v>171867</v>
      </c>
      <c r="AJ113" s="3"/>
      <c r="AK113" s="3"/>
      <c r="AL113" s="3"/>
      <c r="AM113" s="3">
        <v>0</v>
      </c>
      <c r="AN113" s="3"/>
      <c r="AO113" s="3">
        <v>3144</v>
      </c>
      <c r="AP113" s="3"/>
      <c r="AQ113" s="3">
        <v>0</v>
      </c>
      <c r="AR113" s="3"/>
      <c r="AS113" s="3">
        <v>0</v>
      </c>
      <c r="AT113" s="3"/>
      <c r="AU113" s="3">
        <v>0</v>
      </c>
      <c r="AV113" s="3"/>
      <c r="AW113" s="3"/>
      <c r="AX113" s="3"/>
      <c r="AY113" s="3">
        <v>0</v>
      </c>
      <c r="AZ113" s="3"/>
      <c r="BA113" s="3">
        <f t="shared" si="2"/>
        <v>4098304</v>
      </c>
      <c r="BB113" s="3"/>
      <c r="BC113" s="3">
        <f>+'St of Act-Rev'!AE113-BA113</f>
        <v>-28482</v>
      </c>
      <c r="BD113" s="3"/>
      <c r="BE113" s="3">
        <v>979991</v>
      </c>
      <c r="BF113" s="3"/>
      <c r="BG113" s="3">
        <f t="shared" si="3"/>
        <v>951509</v>
      </c>
      <c r="BH113" s="3"/>
      <c r="BI113" s="3">
        <f>+'St of Net Assets'!Y113-BG113</f>
        <v>0</v>
      </c>
    </row>
    <row r="114" spans="1:61">
      <c r="A114" s="3" t="s">
        <v>329</v>
      </c>
      <c r="B114" s="13"/>
      <c r="C114" s="13" t="s">
        <v>188</v>
      </c>
      <c r="E114" s="3">
        <v>179628</v>
      </c>
      <c r="F114" s="3"/>
      <c r="G114" s="3">
        <v>1476421</v>
      </c>
      <c r="H114" s="3"/>
      <c r="I114" s="3">
        <v>0</v>
      </c>
      <c r="J114" s="3"/>
      <c r="K114" s="3">
        <v>0</v>
      </c>
      <c r="L114" s="3"/>
      <c r="M114" s="3">
        <v>57994</v>
      </c>
      <c r="N114" s="3"/>
      <c r="O114" s="3">
        <v>1836475</v>
      </c>
      <c r="P114" s="3"/>
      <c r="Q114" s="3">
        <v>2177951</v>
      </c>
      <c r="R114" s="3"/>
      <c r="S114" s="3">
        <v>198717</v>
      </c>
      <c r="T114" s="3"/>
      <c r="U114" s="3">
        <v>687365</v>
      </c>
      <c r="V114" s="3"/>
      <c r="W114" s="3">
        <v>340879</v>
      </c>
      <c r="X114" s="3"/>
      <c r="Y114" s="3">
        <v>92755</v>
      </c>
      <c r="Z114" s="3"/>
      <c r="AA114" s="3">
        <v>67396</v>
      </c>
      <c r="AB114" s="3"/>
      <c r="AC114" s="3" t="s">
        <v>329</v>
      </c>
      <c r="AD114" s="13"/>
      <c r="AE114" s="13" t="s">
        <v>188</v>
      </c>
      <c r="AF114" s="13"/>
      <c r="AG114" s="3">
        <v>6934</v>
      </c>
      <c r="AH114" s="3"/>
      <c r="AI114" s="3">
        <v>0</v>
      </c>
      <c r="AJ114" s="3"/>
      <c r="AK114" s="3"/>
      <c r="AL114" s="3"/>
      <c r="AM114" s="3">
        <v>116518</v>
      </c>
      <c r="AN114" s="3"/>
      <c r="AO114" s="3">
        <v>825</v>
      </c>
      <c r="AP114" s="3"/>
      <c r="AQ114" s="3">
        <v>17623</v>
      </c>
      <c r="AR114" s="3"/>
      <c r="AS114" s="3">
        <v>1902</v>
      </c>
      <c r="AT114" s="3"/>
      <c r="AU114" s="3">
        <v>0</v>
      </c>
      <c r="AV114" s="3"/>
      <c r="AW114" s="3"/>
      <c r="AX114" s="3"/>
      <c r="AY114" s="3">
        <v>0</v>
      </c>
      <c r="AZ114" s="3"/>
      <c r="BA114" s="3">
        <f t="shared" si="2"/>
        <v>7259383</v>
      </c>
      <c r="BB114" s="3"/>
      <c r="BC114" s="3">
        <f>+'St of Act-Rev'!AE114-BA114</f>
        <v>62262</v>
      </c>
      <c r="BD114" s="3"/>
      <c r="BE114" s="3">
        <v>717639</v>
      </c>
      <c r="BF114" s="3"/>
      <c r="BG114" s="3">
        <f t="shared" si="3"/>
        <v>779901</v>
      </c>
      <c r="BH114" s="3"/>
      <c r="BI114" s="3">
        <f>+'St of Net Assets'!Y114-BG114</f>
        <v>0</v>
      </c>
    </row>
    <row r="115" spans="1:61" hidden="1">
      <c r="A115" s="13" t="s">
        <v>330</v>
      </c>
      <c r="B115" s="13"/>
      <c r="C115" s="13" t="s">
        <v>189</v>
      </c>
      <c r="E115" s="3">
        <v>0</v>
      </c>
      <c r="F115" s="3"/>
      <c r="G115" s="3">
        <v>0</v>
      </c>
      <c r="H115" s="3"/>
      <c r="I115" s="3">
        <v>0</v>
      </c>
      <c r="J115" s="3"/>
      <c r="K115" s="3">
        <v>0</v>
      </c>
      <c r="L115" s="3"/>
      <c r="M115" s="3">
        <v>0</v>
      </c>
      <c r="N115" s="3"/>
      <c r="O115" s="3">
        <v>0</v>
      </c>
      <c r="P115" s="3"/>
      <c r="Q115" s="3">
        <v>0</v>
      </c>
      <c r="R115" s="3"/>
      <c r="S115" s="3">
        <v>0</v>
      </c>
      <c r="T115" s="3"/>
      <c r="U115" s="3">
        <v>0</v>
      </c>
      <c r="V115" s="3"/>
      <c r="W115" s="3">
        <v>0</v>
      </c>
      <c r="X115" s="3"/>
      <c r="Y115" s="3">
        <v>0</v>
      </c>
      <c r="Z115" s="3"/>
      <c r="AA115" s="3">
        <v>0</v>
      </c>
      <c r="AB115" s="3"/>
      <c r="AC115" s="13" t="s">
        <v>330</v>
      </c>
      <c r="AD115" s="13"/>
      <c r="AE115" s="13" t="s">
        <v>189</v>
      </c>
      <c r="AF115" s="13"/>
      <c r="AG115" s="3">
        <v>0</v>
      </c>
      <c r="AH115" s="3"/>
      <c r="AI115" s="3">
        <v>0</v>
      </c>
      <c r="AJ115" s="3"/>
      <c r="AK115" s="3"/>
      <c r="AL115" s="3"/>
      <c r="AM115" s="3">
        <v>0</v>
      </c>
      <c r="AN115" s="3"/>
      <c r="AO115" s="3">
        <v>0</v>
      </c>
      <c r="AP115" s="3"/>
      <c r="AQ115" s="3">
        <v>0</v>
      </c>
      <c r="AR115" s="3"/>
      <c r="AS115" s="3">
        <v>0</v>
      </c>
      <c r="AT115" s="3"/>
      <c r="AU115" s="3">
        <v>0</v>
      </c>
      <c r="AV115" s="3"/>
      <c r="AW115" s="3"/>
      <c r="AX115" s="3"/>
      <c r="AY115" s="3">
        <v>0</v>
      </c>
      <c r="AZ115" s="3"/>
      <c r="BA115" s="3">
        <f t="shared" si="2"/>
        <v>0</v>
      </c>
      <c r="BB115" s="3"/>
      <c r="BC115" s="3">
        <f>+'St of Act-Rev'!AE115-BA115</f>
        <v>0</v>
      </c>
      <c r="BD115" s="3"/>
      <c r="BE115" s="3"/>
      <c r="BF115" s="3"/>
      <c r="BG115" s="3">
        <f t="shared" si="3"/>
        <v>0</v>
      </c>
      <c r="BH115" s="3"/>
      <c r="BI115" s="3">
        <f>+'St of Net Assets'!Y115-BG115</f>
        <v>0</v>
      </c>
    </row>
    <row r="116" spans="1:61">
      <c r="A116" s="3" t="s">
        <v>331</v>
      </c>
      <c r="B116" s="13"/>
      <c r="C116" s="13" t="s">
        <v>190</v>
      </c>
      <c r="E116" s="3">
        <v>718069</v>
      </c>
      <c r="F116" s="3"/>
      <c r="G116" s="3">
        <v>1085102</v>
      </c>
      <c r="H116" s="3"/>
      <c r="I116" s="3">
        <v>0</v>
      </c>
      <c r="J116" s="3"/>
      <c r="K116" s="3">
        <v>29825</v>
      </c>
      <c r="L116" s="3"/>
      <c r="M116" s="3">
        <v>142</v>
      </c>
      <c r="N116" s="3"/>
      <c r="O116" s="3">
        <v>860063</v>
      </c>
      <c r="P116" s="3"/>
      <c r="Q116" s="3">
        <v>1399767</v>
      </c>
      <c r="R116" s="3"/>
      <c r="S116" s="3">
        <v>30005</v>
      </c>
      <c r="T116" s="3"/>
      <c r="U116" s="3">
        <v>358556</v>
      </c>
      <c r="V116" s="3"/>
      <c r="W116" s="3">
        <v>333828</v>
      </c>
      <c r="X116" s="3"/>
      <c r="Y116" s="3">
        <v>13629</v>
      </c>
      <c r="Z116" s="3"/>
      <c r="AA116" s="3">
        <v>93654</v>
      </c>
      <c r="AB116" s="3"/>
      <c r="AC116" s="3" t="s">
        <v>331</v>
      </c>
      <c r="AD116" s="13"/>
      <c r="AE116" s="13" t="s">
        <v>190</v>
      </c>
      <c r="AF116" s="13"/>
      <c r="AG116" s="3">
        <v>105069</v>
      </c>
      <c r="AH116" s="3"/>
      <c r="AI116" s="3">
        <v>249603</v>
      </c>
      <c r="AJ116" s="3"/>
      <c r="AK116" s="3"/>
      <c r="AL116" s="3"/>
      <c r="AM116" s="3">
        <v>0</v>
      </c>
      <c r="AN116" s="3"/>
      <c r="AO116" s="3">
        <v>40669</v>
      </c>
      <c r="AP116" s="3"/>
      <c r="AQ116" s="3">
        <v>0</v>
      </c>
      <c r="AR116" s="3"/>
      <c r="AS116" s="3">
        <v>30729</v>
      </c>
      <c r="AT116" s="3"/>
      <c r="AU116" s="3">
        <v>0</v>
      </c>
      <c r="AV116" s="3"/>
      <c r="AW116" s="3"/>
      <c r="AX116" s="3"/>
      <c r="AY116" s="3">
        <v>1091904</v>
      </c>
      <c r="AZ116" s="3"/>
      <c r="BA116" s="3">
        <f t="shared" si="2"/>
        <v>6440614</v>
      </c>
      <c r="BB116" s="3"/>
      <c r="BC116" s="3">
        <f>+'St of Act-Rev'!AE116-BA116</f>
        <v>-420117</v>
      </c>
      <c r="BD116" s="3"/>
      <c r="BE116" s="3">
        <v>4611667</v>
      </c>
      <c r="BF116" s="3"/>
      <c r="BG116" s="3">
        <f t="shared" si="3"/>
        <v>4191550</v>
      </c>
      <c r="BH116" s="3"/>
      <c r="BI116" s="3">
        <f>+'St of Net Assets'!Y116-BG116</f>
        <v>0</v>
      </c>
    </row>
    <row r="117" spans="1:61">
      <c r="A117" s="3" t="s">
        <v>332</v>
      </c>
      <c r="B117" s="13"/>
      <c r="C117" s="13" t="s">
        <v>192</v>
      </c>
      <c r="E117" s="3">
        <v>45655</v>
      </c>
      <c r="F117" s="3"/>
      <c r="G117" s="3">
        <v>3666634</v>
      </c>
      <c r="H117" s="3"/>
      <c r="I117" s="3">
        <v>0</v>
      </c>
      <c r="J117" s="3"/>
      <c r="K117" s="3">
        <v>0</v>
      </c>
      <c r="L117" s="3"/>
      <c r="M117" s="3">
        <v>12689</v>
      </c>
      <c r="N117" s="3"/>
      <c r="O117" s="3">
        <v>1532301</v>
      </c>
      <c r="P117" s="3"/>
      <c r="Q117" s="3">
        <v>2330589</v>
      </c>
      <c r="R117" s="3"/>
      <c r="S117" s="3">
        <v>61849</v>
      </c>
      <c r="T117" s="3"/>
      <c r="U117" s="3">
        <v>810149</v>
      </c>
      <c r="V117" s="3"/>
      <c r="W117" s="3">
        <v>300343</v>
      </c>
      <c r="X117" s="3"/>
      <c r="Y117" s="3">
        <v>0</v>
      </c>
      <c r="Z117" s="3"/>
      <c r="AA117" s="3">
        <v>121506</v>
      </c>
      <c r="AB117" s="3"/>
      <c r="AC117" s="3" t="s">
        <v>332</v>
      </c>
      <c r="AD117" s="13"/>
      <c r="AE117" s="13" t="s">
        <v>192</v>
      </c>
      <c r="AF117" s="13"/>
      <c r="AG117" s="3">
        <v>0</v>
      </c>
      <c r="AH117" s="3"/>
      <c r="AI117" s="3">
        <v>40423</v>
      </c>
      <c r="AJ117" s="3"/>
      <c r="AK117" s="3"/>
      <c r="AL117" s="3"/>
      <c r="AM117" s="3">
        <v>0</v>
      </c>
      <c r="AN117" s="3"/>
      <c r="AO117" s="3">
        <v>28541</v>
      </c>
      <c r="AP117" s="3"/>
      <c r="AQ117" s="3">
        <v>0</v>
      </c>
      <c r="AR117" s="3"/>
      <c r="AS117" s="3">
        <v>0</v>
      </c>
      <c r="AT117" s="3"/>
      <c r="AU117" s="3">
        <v>0</v>
      </c>
      <c r="AV117" s="3"/>
      <c r="AW117" s="3"/>
      <c r="AX117" s="3"/>
      <c r="AY117" s="3">
        <v>0</v>
      </c>
      <c r="AZ117" s="3"/>
      <c r="BA117" s="3">
        <f t="shared" si="2"/>
        <v>8950679</v>
      </c>
      <c r="BB117" s="3"/>
      <c r="BC117" s="3">
        <f>+'St of Act-Rev'!AE117-BA117</f>
        <v>23357</v>
      </c>
      <c r="BD117" s="3"/>
      <c r="BE117" s="3">
        <v>3286601</v>
      </c>
      <c r="BF117" s="3"/>
      <c r="BG117" s="3">
        <f t="shared" si="3"/>
        <v>3309958</v>
      </c>
      <c r="BH117" s="3"/>
      <c r="BI117" s="3">
        <f>+'St of Net Assets'!Y117-BG117</f>
        <v>0</v>
      </c>
    </row>
    <row r="118" spans="1:61" hidden="1">
      <c r="A118" s="3" t="s">
        <v>306</v>
      </c>
      <c r="B118" s="13"/>
      <c r="C118" s="13" t="s">
        <v>193</v>
      </c>
      <c r="E118" s="3">
        <v>0</v>
      </c>
      <c r="F118" s="3"/>
      <c r="G118" s="3">
        <v>0</v>
      </c>
      <c r="H118" s="3"/>
      <c r="I118" s="3">
        <v>0</v>
      </c>
      <c r="J118" s="3"/>
      <c r="K118" s="3">
        <v>0</v>
      </c>
      <c r="L118" s="3"/>
      <c r="M118" s="3">
        <v>0</v>
      </c>
      <c r="N118" s="3"/>
      <c r="O118" s="3">
        <v>0</v>
      </c>
      <c r="P118" s="3"/>
      <c r="Q118" s="3">
        <v>0</v>
      </c>
      <c r="R118" s="3"/>
      <c r="S118" s="3">
        <v>0</v>
      </c>
      <c r="T118" s="3"/>
      <c r="U118" s="3">
        <v>0</v>
      </c>
      <c r="V118" s="3"/>
      <c r="W118" s="3">
        <v>0</v>
      </c>
      <c r="X118" s="3"/>
      <c r="Y118" s="3">
        <v>0</v>
      </c>
      <c r="Z118" s="3"/>
      <c r="AA118" s="3">
        <v>0</v>
      </c>
      <c r="AB118" s="3"/>
      <c r="AC118" s="3" t="s">
        <v>306</v>
      </c>
      <c r="AD118" s="13"/>
      <c r="AE118" s="13" t="s">
        <v>193</v>
      </c>
      <c r="AF118" s="13"/>
      <c r="AG118" s="3">
        <v>0</v>
      </c>
      <c r="AH118" s="3"/>
      <c r="AI118" s="3">
        <v>0</v>
      </c>
      <c r="AJ118" s="3"/>
      <c r="AK118" s="3"/>
      <c r="AL118" s="3"/>
      <c r="AM118" s="3">
        <v>0</v>
      </c>
      <c r="AN118" s="3"/>
      <c r="AO118" s="3">
        <v>0</v>
      </c>
      <c r="AP118" s="3"/>
      <c r="AQ118" s="3">
        <v>0</v>
      </c>
      <c r="AR118" s="3"/>
      <c r="AS118" s="3">
        <v>0</v>
      </c>
      <c r="AT118" s="3"/>
      <c r="AU118" s="3">
        <v>0</v>
      </c>
      <c r="AV118" s="3"/>
      <c r="AW118" s="3"/>
      <c r="AX118" s="3"/>
      <c r="AY118" s="3">
        <v>0</v>
      </c>
      <c r="AZ118" s="3"/>
      <c r="BA118" s="3">
        <f t="shared" si="2"/>
        <v>0</v>
      </c>
      <c r="BB118" s="3"/>
      <c r="BC118" s="3">
        <f>+'St of Act-Rev'!AE118-BA118</f>
        <v>0</v>
      </c>
      <c r="BD118" s="3"/>
      <c r="BE118" s="3"/>
      <c r="BF118" s="3"/>
      <c r="BG118" s="3">
        <f t="shared" si="3"/>
        <v>0</v>
      </c>
      <c r="BH118" s="3"/>
      <c r="BI118" s="3">
        <f>+'St of Net Assets'!Y118-BG118</f>
        <v>0</v>
      </c>
    </row>
    <row r="119" spans="1:61" hidden="1">
      <c r="A119" s="3" t="s">
        <v>376</v>
      </c>
      <c r="B119" s="13"/>
      <c r="C119" s="13" t="s">
        <v>196</v>
      </c>
      <c r="E119" s="3">
        <v>0</v>
      </c>
      <c r="F119" s="3"/>
      <c r="G119" s="3">
        <v>0</v>
      </c>
      <c r="H119" s="3"/>
      <c r="I119" s="3">
        <v>0</v>
      </c>
      <c r="J119" s="3"/>
      <c r="K119" s="3">
        <v>0</v>
      </c>
      <c r="L119" s="3"/>
      <c r="M119" s="3">
        <v>0</v>
      </c>
      <c r="N119" s="3"/>
      <c r="O119" s="3">
        <v>0</v>
      </c>
      <c r="P119" s="3"/>
      <c r="Q119" s="3">
        <v>0</v>
      </c>
      <c r="R119" s="3"/>
      <c r="S119" s="3">
        <v>0</v>
      </c>
      <c r="T119" s="3"/>
      <c r="U119" s="3">
        <v>0</v>
      </c>
      <c r="V119" s="3"/>
      <c r="W119" s="3">
        <v>0</v>
      </c>
      <c r="X119" s="3"/>
      <c r="Y119" s="3">
        <v>0</v>
      </c>
      <c r="Z119" s="3"/>
      <c r="AA119" s="3">
        <v>0</v>
      </c>
      <c r="AB119" s="3"/>
      <c r="AC119" s="3" t="s">
        <v>376</v>
      </c>
      <c r="AD119" s="13"/>
      <c r="AE119" s="13" t="s">
        <v>196</v>
      </c>
      <c r="AF119" s="13"/>
      <c r="AG119" s="3">
        <v>0</v>
      </c>
      <c r="AH119" s="3"/>
      <c r="AI119" s="3">
        <v>0</v>
      </c>
      <c r="AJ119" s="3"/>
      <c r="AK119" s="3"/>
      <c r="AL119" s="3"/>
      <c r="AM119" s="3">
        <v>0</v>
      </c>
      <c r="AN119" s="3"/>
      <c r="AO119" s="3">
        <v>0</v>
      </c>
      <c r="AP119" s="3"/>
      <c r="AQ119" s="3">
        <v>0</v>
      </c>
      <c r="AR119" s="3"/>
      <c r="AS119" s="3">
        <v>0</v>
      </c>
      <c r="AT119" s="3"/>
      <c r="AU119" s="3">
        <v>0</v>
      </c>
      <c r="AV119" s="3"/>
      <c r="AW119" s="3"/>
      <c r="AX119" s="3"/>
      <c r="AY119" s="3">
        <v>0</v>
      </c>
      <c r="AZ119" s="3"/>
      <c r="BA119" s="3">
        <f t="shared" si="2"/>
        <v>0</v>
      </c>
      <c r="BB119" s="3"/>
      <c r="BC119" s="3">
        <f>+'St of Act-Rev'!AE119-BA119</f>
        <v>0</v>
      </c>
      <c r="BD119" s="3"/>
      <c r="BE119" s="3"/>
      <c r="BF119" s="3"/>
      <c r="BG119" s="3">
        <f t="shared" si="3"/>
        <v>0</v>
      </c>
      <c r="BH119" s="3"/>
      <c r="BI119" s="3">
        <f>+'St of Net Assets'!Y119-BG119</f>
        <v>0</v>
      </c>
    </row>
    <row r="120" spans="1:61">
      <c r="A120" s="3" t="s">
        <v>266</v>
      </c>
      <c r="B120" s="13"/>
      <c r="C120" s="13" t="s">
        <v>194</v>
      </c>
      <c r="E120" s="3">
        <v>507557</v>
      </c>
      <c r="F120" s="3"/>
      <c r="G120" s="3">
        <v>3847810</v>
      </c>
      <c r="H120" s="3"/>
      <c r="I120" s="3">
        <v>0</v>
      </c>
      <c r="J120" s="3"/>
      <c r="K120" s="3">
        <v>181591</v>
      </c>
      <c r="L120" s="3"/>
      <c r="M120" s="3">
        <v>0</v>
      </c>
      <c r="N120" s="3"/>
      <c r="O120" s="3">
        <v>1995906</v>
      </c>
      <c r="P120" s="3"/>
      <c r="Q120" s="3">
        <v>1315544</v>
      </c>
      <c r="R120" s="3"/>
      <c r="S120" s="3">
        <v>29552</v>
      </c>
      <c r="T120" s="3"/>
      <c r="U120" s="3">
        <v>734520</v>
      </c>
      <c r="V120" s="3"/>
      <c r="W120" s="3">
        <v>240645</v>
      </c>
      <c r="X120" s="3"/>
      <c r="Y120" s="3">
        <v>0</v>
      </c>
      <c r="Z120" s="3"/>
      <c r="AA120" s="3">
        <v>119973</v>
      </c>
      <c r="AB120" s="3"/>
      <c r="AC120" s="3" t="s">
        <v>266</v>
      </c>
      <c r="AD120" s="13"/>
      <c r="AE120" s="13" t="s">
        <v>194</v>
      </c>
      <c r="AF120" s="13"/>
      <c r="AG120" s="3">
        <v>11328</v>
      </c>
      <c r="AH120" s="3"/>
      <c r="AI120" s="3">
        <v>135135</v>
      </c>
      <c r="AJ120" s="3"/>
      <c r="AK120" s="3"/>
      <c r="AL120" s="3"/>
      <c r="AM120" s="3">
        <v>0</v>
      </c>
      <c r="AN120" s="3"/>
      <c r="AO120" s="3">
        <v>0</v>
      </c>
      <c r="AP120" s="3"/>
      <c r="AQ120" s="3">
        <v>0</v>
      </c>
      <c r="AR120" s="3"/>
      <c r="AS120" s="3">
        <v>371</v>
      </c>
      <c r="AT120" s="3"/>
      <c r="AU120" s="3">
        <v>0</v>
      </c>
      <c r="AV120" s="3"/>
      <c r="AW120" s="3"/>
      <c r="AX120" s="3"/>
      <c r="AY120" s="3">
        <v>0</v>
      </c>
      <c r="AZ120" s="3"/>
      <c r="BA120" s="3">
        <f t="shared" si="2"/>
        <v>9119932</v>
      </c>
      <c r="BB120" s="3"/>
      <c r="BC120" s="3">
        <f>+'St of Act-Rev'!AE120-BA120</f>
        <v>196073</v>
      </c>
      <c r="BD120" s="3"/>
      <c r="BE120" s="3">
        <v>848559</v>
      </c>
      <c r="BF120" s="3"/>
      <c r="BG120" s="3">
        <f t="shared" si="3"/>
        <v>1044632</v>
      </c>
      <c r="BH120" s="3"/>
      <c r="BI120" s="3">
        <f>+'St of Net Assets'!Y120-BG120</f>
        <v>0</v>
      </c>
    </row>
    <row r="121" spans="1:61">
      <c r="A121" s="3" t="s">
        <v>265</v>
      </c>
      <c r="B121" s="3"/>
      <c r="C121" s="3" t="s">
        <v>157</v>
      </c>
      <c r="E121" s="3">
        <v>234260</v>
      </c>
      <c r="F121" s="3"/>
      <c r="G121" s="3">
        <v>540551</v>
      </c>
      <c r="H121" s="3"/>
      <c r="I121" s="3">
        <v>0</v>
      </c>
      <c r="J121" s="3"/>
      <c r="K121" s="3">
        <v>0</v>
      </c>
      <c r="L121" s="3"/>
      <c r="M121" s="3">
        <v>0</v>
      </c>
      <c r="N121" s="3"/>
      <c r="O121" s="3">
        <v>489897</v>
      </c>
      <c r="P121" s="3"/>
      <c r="Q121" s="3">
        <v>1191979</v>
      </c>
      <c r="R121" s="3"/>
      <c r="S121" s="3">
        <v>0</v>
      </c>
      <c r="T121" s="3"/>
      <c r="U121" s="3">
        <f>38466+521254</f>
        <v>559720</v>
      </c>
      <c r="V121" s="3"/>
      <c r="W121" s="3">
        <v>248307</v>
      </c>
      <c r="X121" s="3"/>
      <c r="Y121" s="3">
        <v>0</v>
      </c>
      <c r="Z121" s="3"/>
      <c r="AA121" s="3">
        <v>68773</v>
      </c>
      <c r="AB121" s="3"/>
      <c r="AC121" s="3" t="s">
        <v>265</v>
      </c>
      <c r="AD121" s="3"/>
      <c r="AE121" s="3" t="s">
        <v>157</v>
      </c>
      <c r="AF121" s="3"/>
      <c r="AG121" s="3">
        <v>0</v>
      </c>
      <c r="AH121" s="3"/>
      <c r="AI121" s="3">
        <v>304057</v>
      </c>
      <c r="AJ121" s="3"/>
      <c r="AK121" s="3"/>
      <c r="AL121" s="3"/>
      <c r="AM121" s="3">
        <v>0</v>
      </c>
      <c r="AN121" s="3"/>
      <c r="AO121" s="3">
        <v>0</v>
      </c>
      <c r="AP121" s="3"/>
      <c r="AQ121" s="3">
        <v>0</v>
      </c>
      <c r="AR121" s="3"/>
      <c r="AS121" s="3">
        <v>0</v>
      </c>
      <c r="AT121" s="3"/>
      <c r="AU121" s="3">
        <v>0</v>
      </c>
      <c r="AV121" s="3"/>
      <c r="AW121" s="3"/>
      <c r="AX121" s="3"/>
      <c r="AY121" s="3">
        <v>0</v>
      </c>
      <c r="AZ121" s="3"/>
      <c r="BA121" s="3">
        <f>SUM(E121:AZ121)</f>
        <v>3637544</v>
      </c>
      <c r="BB121" s="3"/>
      <c r="BC121" s="3">
        <f>+'St of Act-Rev'!AE121-BA121</f>
        <v>-114606</v>
      </c>
      <c r="BD121" s="3"/>
      <c r="BE121" s="3">
        <v>2792852</v>
      </c>
      <c r="BF121" s="3"/>
      <c r="BG121" s="3">
        <f>+BC121+BE121</f>
        <v>2678246</v>
      </c>
      <c r="BH121" s="3"/>
      <c r="BI121" s="3">
        <f>+'St of Net Assets'!Y121-BG121</f>
        <v>0</v>
      </c>
    </row>
    <row r="122" spans="1:61">
      <c r="A122" s="13" t="s">
        <v>336</v>
      </c>
      <c r="B122" s="13"/>
      <c r="C122" s="13" t="s">
        <v>197</v>
      </c>
      <c r="E122" s="3">
        <v>115075</v>
      </c>
      <c r="F122" s="3"/>
      <c r="G122" s="3">
        <v>4993771</v>
      </c>
      <c r="H122" s="3"/>
      <c r="I122" s="3">
        <v>0</v>
      </c>
      <c r="J122" s="3"/>
      <c r="K122" s="3">
        <v>0</v>
      </c>
      <c r="L122" s="3"/>
      <c r="M122" s="3">
        <v>0</v>
      </c>
      <c r="N122" s="3"/>
      <c r="O122" s="3">
        <v>3239159</v>
      </c>
      <c r="P122" s="3"/>
      <c r="Q122" s="3">
        <v>6382235</v>
      </c>
      <c r="R122" s="3"/>
      <c r="S122" s="3">
        <v>22457</v>
      </c>
      <c r="T122" s="3"/>
      <c r="U122" s="3">
        <v>3163832</v>
      </c>
      <c r="V122" s="3"/>
      <c r="W122" s="3">
        <v>450733</v>
      </c>
      <c r="X122" s="3"/>
      <c r="Y122" s="3">
        <v>692988</v>
      </c>
      <c r="Z122" s="3"/>
      <c r="AA122" s="3">
        <v>214787</v>
      </c>
      <c r="AB122" s="3"/>
      <c r="AC122" s="13" t="s">
        <v>336</v>
      </c>
      <c r="AD122" s="13"/>
      <c r="AE122" s="13" t="s">
        <v>197</v>
      </c>
      <c r="AF122" s="13"/>
      <c r="AG122" s="3">
        <v>0</v>
      </c>
      <c r="AH122" s="3"/>
      <c r="AI122" s="3">
        <v>46726</v>
      </c>
      <c r="AJ122" s="3"/>
      <c r="AK122" s="3"/>
      <c r="AL122" s="3"/>
      <c r="AM122" s="3">
        <v>39874</v>
      </c>
      <c r="AN122" s="3"/>
      <c r="AO122" s="3">
        <v>20000</v>
      </c>
      <c r="AP122" s="3"/>
      <c r="AQ122" s="3">
        <v>0</v>
      </c>
      <c r="AR122" s="3"/>
      <c r="AS122" s="3">
        <v>0</v>
      </c>
      <c r="AT122" s="3"/>
      <c r="AU122" s="3">
        <v>0</v>
      </c>
      <c r="AV122" s="3"/>
      <c r="AW122" s="3"/>
      <c r="AX122" s="3"/>
      <c r="AY122" s="3">
        <v>0</v>
      </c>
      <c r="AZ122" s="3"/>
      <c r="BA122" s="3">
        <f t="shared" si="2"/>
        <v>19381637</v>
      </c>
      <c r="BB122" s="3"/>
      <c r="BC122" s="3">
        <f>+'St of Act-Rev'!AE122-BA122</f>
        <v>-293553</v>
      </c>
      <c r="BD122" s="3"/>
      <c r="BE122" s="3">
        <v>2126771</v>
      </c>
      <c r="BF122" s="3"/>
      <c r="BG122" s="3">
        <f t="shared" si="3"/>
        <v>1833218</v>
      </c>
      <c r="BH122" s="3"/>
      <c r="BI122" s="3">
        <f>+'St of Net Assets'!Y122-BG122</f>
        <v>0</v>
      </c>
    </row>
    <row r="123" spans="1:61">
      <c r="A123" s="3" t="s">
        <v>337</v>
      </c>
      <c r="B123" s="13"/>
      <c r="C123" s="13" t="s">
        <v>198</v>
      </c>
      <c r="E123" s="3">
        <v>867600</v>
      </c>
      <c r="F123" s="3"/>
      <c r="G123" s="3">
        <v>5771610</v>
      </c>
      <c r="H123" s="3"/>
      <c r="I123" s="3">
        <v>75995</v>
      </c>
      <c r="J123" s="3"/>
      <c r="K123" s="3">
        <v>0</v>
      </c>
      <c r="L123" s="3"/>
      <c r="M123" s="3">
        <v>0</v>
      </c>
      <c r="N123" s="3"/>
      <c r="O123" s="3">
        <v>3649489</v>
      </c>
      <c r="P123" s="3"/>
      <c r="Q123" s="3">
        <v>4622772</v>
      </c>
      <c r="R123" s="3"/>
      <c r="S123" s="3">
        <v>68640</v>
      </c>
      <c r="T123" s="3"/>
      <c r="U123" s="3">
        <v>647737</v>
      </c>
      <c r="V123" s="3"/>
      <c r="W123" s="3">
        <v>345505</v>
      </c>
      <c r="X123" s="3"/>
      <c r="Y123" s="3">
        <v>56890</v>
      </c>
      <c r="Z123" s="3"/>
      <c r="AA123" s="3">
        <v>388307</v>
      </c>
      <c r="AB123" s="3"/>
      <c r="AC123" s="3" t="s">
        <v>337</v>
      </c>
      <c r="AD123" s="13"/>
      <c r="AE123" s="13" t="s">
        <v>198</v>
      </c>
      <c r="AF123" s="13"/>
      <c r="AG123" s="3">
        <v>0</v>
      </c>
      <c r="AH123" s="3"/>
      <c r="AI123" s="3">
        <v>193077</v>
      </c>
      <c r="AJ123" s="3"/>
      <c r="AK123" s="3"/>
      <c r="AL123" s="3"/>
      <c r="AM123" s="3">
        <v>0</v>
      </c>
      <c r="AN123" s="3"/>
      <c r="AO123" s="3">
        <v>0</v>
      </c>
      <c r="AP123" s="3"/>
      <c r="AQ123" s="3">
        <v>57482</v>
      </c>
      <c r="AR123" s="3"/>
      <c r="AS123" s="3">
        <v>40472</v>
      </c>
      <c r="AT123" s="3"/>
      <c r="AU123" s="3">
        <v>0</v>
      </c>
      <c r="AV123" s="3"/>
      <c r="AW123" s="3"/>
      <c r="AX123" s="3"/>
      <c r="AY123" s="3">
        <v>0</v>
      </c>
      <c r="AZ123" s="3"/>
      <c r="BA123" s="3">
        <f t="shared" si="2"/>
        <v>16785576</v>
      </c>
      <c r="BB123" s="3"/>
      <c r="BC123" s="3">
        <f>+'St of Act-Rev'!AE123-BA123</f>
        <v>-564908</v>
      </c>
      <c r="BD123" s="3"/>
      <c r="BE123" s="3">
        <v>7907046</v>
      </c>
      <c r="BF123" s="3"/>
      <c r="BG123" s="3">
        <f t="shared" si="3"/>
        <v>7342138</v>
      </c>
      <c r="BH123" s="3"/>
      <c r="BI123" s="3">
        <f>+'St of Net Assets'!Y123-BG123</f>
        <v>0</v>
      </c>
    </row>
    <row r="124" spans="1:61" hidden="1">
      <c r="A124" s="3" t="s">
        <v>362</v>
      </c>
      <c r="B124" s="13"/>
      <c r="C124" s="13" t="s">
        <v>205</v>
      </c>
      <c r="E124" s="3">
        <v>0</v>
      </c>
      <c r="F124" s="3"/>
      <c r="G124" s="3">
        <v>0</v>
      </c>
      <c r="H124" s="3"/>
      <c r="I124" s="3">
        <v>0</v>
      </c>
      <c r="J124" s="3"/>
      <c r="K124" s="3">
        <v>0</v>
      </c>
      <c r="L124" s="3"/>
      <c r="M124" s="3">
        <v>0</v>
      </c>
      <c r="N124" s="3"/>
      <c r="O124" s="3">
        <v>0</v>
      </c>
      <c r="P124" s="3"/>
      <c r="Q124" s="3">
        <v>0</v>
      </c>
      <c r="R124" s="3"/>
      <c r="S124" s="3">
        <v>0</v>
      </c>
      <c r="T124" s="3"/>
      <c r="U124" s="3">
        <v>0</v>
      </c>
      <c r="V124" s="3"/>
      <c r="W124" s="3">
        <v>0</v>
      </c>
      <c r="X124" s="3"/>
      <c r="Y124" s="3">
        <v>0</v>
      </c>
      <c r="Z124" s="3"/>
      <c r="AA124" s="3">
        <v>0</v>
      </c>
      <c r="AB124" s="3"/>
      <c r="AC124" s="3" t="s">
        <v>362</v>
      </c>
      <c r="AD124" s="13"/>
      <c r="AE124" s="13" t="s">
        <v>205</v>
      </c>
      <c r="AF124" s="13"/>
      <c r="AG124" s="3">
        <v>0</v>
      </c>
      <c r="AH124" s="3"/>
      <c r="AI124" s="3">
        <v>0</v>
      </c>
      <c r="AJ124" s="3"/>
      <c r="AK124" s="3"/>
      <c r="AL124" s="3"/>
      <c r="AM124" s="3">
        <v>0</v>
      </c>
      <c r="AN124" s="3"/>
      <c r="AO124" s="3">
        <v>0</v>
      </c>
      <c r="AP124" s="3"/>
      <c r="AQ124" s="3">
        <v>0</v>
      </c>
      <c r="AR124" s="3"/>
      <c r="AS124" s="3">
        <v>0</v>
      </c>
      <c r="AT124" s="3"/>
      <c r="AU124" s="3">
        <v>0</v>
      </c>
      <c r="AV124" s="3"/>
      <c r="AW124" s="3"/>
      <c r="AX124" s="3"/>
      <c r="AY124" s="3">
        <v>0</v>
      </c>
      <c r="AZ124" s="3"/>
      <c r="BA124" s="3">
        <f t="shared" si="2"/>
        <v>0</v>
      </c>
      <c r="BB124" s="3"/>
      <c r="BC124" s="3">
        <f>+'St of Act-Rev'!AE124-BA124</f>
        <v>0</v>
      </c>
      <c r="BD124" s="3"/>
      <c r="BE124" s="3"/>
      <c r="BF124" s="3"/>
      <c r="BG124" s="3">
        <f t="shared" si="3"/>
        <v>0</v>
      </c>
      <c r="BH124" s="3"/>
      <c r="BI124" s="3">
        <f>+'St of Net Assets'!Y124-BG124</f>
        <v>0</v>
      </c>
    </row>
    <row r="125" spans="1:61">
      <c r="A125" s="3" t="s">
        <v>339</v>
      </c>
      <c r="B125" s="13"/>
      <c r="C125" s="13" t="s">
        <v>199</v>
      </c>
      <c r="E125" s="3">
        <v>544441</v>
      </c>
      <c r="F125" s="3"/>
      <c r="G125" s="3">
        <v>6392384</v>
      </c>
      <c r="H125" s="3"/>
      <c r="I125" s="3">
        <v>0</v>
      </c>
      <c r="J125" s="3"/>
      <c r="K125" s="3">
        <v>0</v>
      </c>
      <c r="L125" s="3"/>
      <c r="M125" s="3">
        <v>0</v>
      </c>
      <c r="N125" s="3"/>
      <c r="O125" s="3">
        <v>4388479</v>
      </c>
      <c r="P125" s="3"/>
      <c r="Q125" s="3">
        <v>2167546</v>
      </c>
      <c r="R125" s="3"/>
      <c r="S125" s="3">
        <v>77691</v>
      </c>
      <c r="T125" s="3"/>
      <c r="U125" s="3">
        <v>2431142</v>
      </c>
      <c r="V125" s="3"/>
      <c r="W125" s="3">
        <v>350295</v>
      </c>
      <c r="X125" s="3"/>
      <c r="Y125" s="3">
        <v>34268</v>
      </c>
      <c r="Z125" s="3"/>
      <c r="AA125" s="3">
        <v>203722</v>
      </c>
      <c r="AB125" s="3"/>
      <c r="AC125" s="3" t="s">
        <v>339</v>
      </c>
      <c r="AD125" s="13"/>
      <c r="AE125" s="13" t="s">
        <v>199</v>
      </c>
      <c r="AF125" s="13"/>
      <c r="AG125" s="3">
        <v>25273</v>
      </c>
      <c r="AH125" s="3"/>
      <c r="AI125" s="3">
        <v>0</v>
      </c>
      <c r="AJ125" s="3"/>
      <c r="AK125" s="3"/>
      <c r="AL125" s="3"/>
      <c r="AM125" s="3">
        <v>0</v>
      </c>
      <c r="AN125" s="3"/>
      <c r="AO125" s="3">
        <v>0</v>
      </c>
      <c r="AP125" s="3"/>
      <c r="AQ125" s="3">
        <v>0</v>
      </c>
      <c r="AR125" s="3"/>
      <c r="AS125" s="3">
        <v>1745</v>
      </c>
      <c r="AT125" s="3"/>
      <c r="AU125" s="3">
        <v>0</v>
      </c>
      <c r="AV125" s="3"/>
      <c r="AW125" s="3"/>
      <c r="AX125" s="3"/>
      <c r="AY125" s="3">
        <v>0</v>
      </c>
      <c r="AZ125" s="3"/>
      <c r="BA125" s="3">
        <f t="shared" si="2"/>
        <v>16616986</v>
      </c>
      <c r="BB125" s="3"/>
      <c r="BC125" s="3">
        <f>+'St of Act-Rev'!AE125-BA125</f>
        <v>-197825</v>
      </c>
      <c r="BD125" s="3"/>
      <c r="BE125" s="3">
        <v>4841968</v>
      </c>
      <c r="BF125" s="3"/>
      <c r="BG125" s="3">
        <f t="shared" si="3"/>
        <v>4644143</v>
      </c>
      <c r="BH125" s="3"/>
      <c r="BI125" s="3">
        <f>+'St of Net Assets'!Y125-BG125</f>
        <v>0</v>
      </c>
    </row>
    <row r="126" spans="1:61" hidden="1">
      <c r="A126" s="3" t="s">
        <v>307</v>
      </c>
      <c r="B126" s="13"/>
      <c r="C126" s="13" t="s">
        <v>200</v>
      </c>
      <c r="E126" s="3">
        <v>0</v>
      </c>
      <c r="F126" s="3"/>
      <c r="G126" s="3">
        <v>0</v>
      </c>
      <c r="H126" s="3"/>
      <c r="I126" s="3">
        <v>0</v>
      </c>
      <c r="J126" s="3"/>
      <c r="K126" s="3">
        <v>0</v>
      </c>
      <c r="L126" s="3"/>
      <c r="M126" s="3">
        <v>0</v>
      </c>
      <c r="N126" s="3"/>
      <c r="O126" s="3">
        <v>0</v>
      </c>
      <c r="P126" s="3"/>
      <c r="Q126" s="3">
        <v>0</v>
      </c>
      <c r="R126" s="3"/>
      <c r="S126" s="3">
        <v>0</v>
      </c>
      <c r="T126" s="3"/>
      <c r="U126" s="3">
        <v>0</v>
      </c>
      <c r="V126" s="3"/>
      <c r="W126" s="3">
        <v>0</v>
      </c>
      <c r="X126" s="3"/>
      <c r="Y126" s="3">
        <v>0</v>
      </c>
      <c r="Z126" s="3"/>
      <c r="AA126" s="3">
        <v>0</v>
      </c>
      <c r="AB126" s="3"/>
      <c r="AC126" s="3" t="s">
        <v>307</v>
      </c>
      <c r="AD126" s="13"/>
      <c r="AE126" s="13" t="s">
        <v>200</v>
      </c>
      <c r="AF126" s="13"/>
      <c r="AG126" s="3">
        <v>0</v>
      </c>
      <c r="AH126" s="3"/>
      <c r="AI126" s="3">
        <v>0</v>
      </c>
      <c r="AJ126" s="3"/>
      <c r="AK126" s="3"/>
      <c r="AL126" s="3"/>
      <c r="AM126" s="3">
        <v>0</v>
      </c>
      <c r="AN126" s="3"/>
      <c r="AO126" s="3">
        <v>0</v>
      </c>
      <c r="AP126" s="3"/>
      <c r="AQ126" s="3">
        <v>0</v>
      </c>
      <c r="AR126" s="3"/>
      <c r="AS126" s="3">
        <v>0</v>
      </c>
      <c r="AT126" s="3"/>
      <c r="AU126" s="3">
        <v>0</v>
      </c>
      <c r="AV126" s="3"/>
      <c r="AW126" s="3"/>
      <c r="AX126" s="3"/>
      <c r="AY126" s="3">
        <v>0</v>
      </c>
      <c r="AZ126" s="3"/>
      <c r="BA126" s="3">
        <f t="shared" si="2"/>
        <v>0</v>
      </c>
      <c r="BB126" s="3"/>
      <c r="BC126" s="3">
        <f>+'St of Act-Rev'!AE126-BA126</f>
        <v>0</v>
      </c>
      <c r="BD126" s="3"/>
      <c r="BE126" s="3"/>
      <c r="BF126" s="3"/>
      <c r="BG126" s="3">
        <f t="shared" si="3"/>
        <v>0</v>
      </c>
      <c r="BH126" s="3"/>
      <c r="BI126" s="3">
        <f>+'St of Net Assets'!Y126-BG126</f>
        <v>0</v>
      </c>
    </row>
    <row r="127" spans="1:61" hidden="1">
      <c r="A127" s="3" t="s">
        <v>341</v>
      </c>
      <c r="B127" s="13"/>
      <c r="C127" s="13" t="s">
        <v>203</v>
      </c>
      <c r="E127" s="3">
        <v>0</v>
      </c>
      <c r="F127" s="3"/>
      <c r="G127" s="3">
        <v>0</v>
      </c>
      <c r="H127" s="3"/>
      <c r="I127" s="3">
        <v>0</v>
      </c>
      <c r="J127" s="3"/>
      <c r="K127" s="3">
        <v>0</v>
      </c>
      <c r="L127" s="3"/>
      <c r="M127" s="3">
        <v>0</v>
      </c>
      <c r="N127" s="3"/>
      <c r="O127" s="3">
        <v>0</v>
      </c>
      <c r="P127" s="3"/>
      <c r="Q127" s="3">
        <v>0</v>
      </c>
      <c r="R127" s="3"/>
      <c r="S127" s="3">
        <v>0</v>
      </c>
      <c r="T127" s="3"/>
      <c r="U127" s="3">
        <v>0</v>
      </c>
      <c r="V127" s="3"/>
      <c r="W127" s="3">
        <v>0</v>
      </c>
      <c r="X127" s="3"/>
      <c r="Y127" s="3">
        <v>0</v>
      </c>
      <c r="Z127" s="3"/>
      <c r="AA127" s="3">
        <v>0</v>
      </c>
      <c r="AB127" s="3"/>
      <c r="AC127" s="3" t="s">
        <v>341</v>
      </c>
      <c r="AD127" s="13"/>
      <c r="AE127" s="13" t="s">
        <v>203</v>
      </c>
      <c r="AF127" s="13"/>
      <c r="AG127" s="3">
        <v>0</v>
      </c>
      <c r="AH127" s="3"/>
      <c r="AI127" s="3">
        <v>0</v>
      </c>
      <c r="AJ127" s="3"/>
      <c r="AK127" s="3"/>
      <c r="AL127" s="3"/>
      <c r="AM127" s="3">
        <v>0</v>
      </c>
      <c r="AN127" s="3"/>
      <c r="AO127" s="3">
        <v>0</v>
      </c>
      <c r="AP127" s="3"/>
      <c r="AQ127" s="3">
        <v>0</v>
      </c>
      <c r="AR127" s="3"/>
      <c r="AS127" s="3">
        <v>0</v>
      </c>
      <c r="AT127" s="3"/>
      <c r="AU127" s="3">
        <v>0</v>
      </c>
      <c r="AV127" s="3"/>
      <c r="AW127" s="3"/>
      <c r="AX127" s="3"/>
      <c r="AY127" s="3">
        <v>0</v>
      </c>
      <c r="AZ127" s="3"/>
      <c r="BA127" s="3">
        <f t="shared" si="2"/>
        <v>0</v>
      </c>
      <c r="BB127" s="3"/>
      <c r="BC127" s="3">
        <f>+'St of Act-Rev'!AE127-BA127</f>
        <v>0</v>
      </c>
      <c r="BD127" s="3"/>
      <c r="BE127" s="3"/>
      <c r="BF127" s="3"/>
      <c r="BG127" s="3">
        <f t="shared" si="3"/>
        <v>0</v>
      </c>
      <c r="BH127" s="3"/>
      <c r="BI127" s="3">
        <f>+'St of Net Assets'!Y127-BG127</f>
        <v>0</v>
      </c>
    </row>
    <row r="128" spans="1:61" hidden="1">
      <c r="A128" s="3" t="s">
        <v>308</v>
      </c>
      <c r="B128" s="13"/>
      <c r="C128" s="13" t="s">
        <v>204</v>
      </c>
      <c r="E128" s="27">
        <v>0</v>
      </c>
      <c r="F128" s="27"/>
      <c r="G128" s="27">
        <v>0</v>
      </c>
      <c r="H128" s="27"/>
      <c r="I128" s="27">
        <v>0</v>
      </c>
      <c r="J128" s="27"/>
      <c r="K128" s="27">
        <v>0</v>
      </c>
      <c r="L128" s="27"/>
      <c r="M128" s="27">
        <v>0</v>
      </c>
      <c r="N128" s="27"/>
      <c r="O128" s="27">
        <v>0</v>
      </c>
      <c r="P128" s="27"/>
      <c r="Q128" s="27">
        <v>0</v>
      </c>
      <c r="R128" s="27"/>
      <c r="S128" s="27">
        <v>0</v>
      </c>
      <c r="T128" s="27"/>
      <c r="U128" s="27">
        <v>0</v>
      </c>
      <c r="V128" s="27"/>
      <c r="W128" s="27">
        <v>0</v>
      </c>
      <c r="X128" s="27"/>
      <c r="Y128" s="27">
        <v>0</v>
      </c>
      <c r="Z128" s="27"/>
      <c r="AA128" s="27">
        <v>0</v>
      </c>
      <c r="AC128" s="3" t="s">
        <v>308</v>
      </c>
      <c r="AD128" s="13"/>
      <c r="AE128" s="13" t="s">
        <v>204</v>
      </c>
      <c r="AG128" s="27">
        <v>0</v>
      </c>
      <c r="AH128" s="27"/>
      <c r="AI128" s="27">
        <v>0</v>
      </c>
      <c r="AJ128" s="27"/>
      <c r="AK128" s="27"/>
      <c r="AL128" s="27"/>
      <c r="AM128" s="27">
        <v>0</v>
      </c>
      <c r="AN128" s="27"/>
      <c r="AO128" s="27">
        <v>0</v>
      </c>
      <c r="AP128" s="27"/>
      <c r="AQ128" s="27">
        <v>0</v>
      </c>
      <c r="AR128" s="27"/>
      <c r="AS128" s="27">
        <v>0</v>
      </c>
      <c r="AT128" s="27"/>
      <c r="AU128" s="27">
        <v>0</v>
      </c>
      <c r="AV128" s="27"/>
      <c r="AW128" s="27"/>
      <c r="AX128" s="27"/>
      <c r="AY128" s="27">
        <v>0</v>
      </c>
      <c r="AZ128" s="3"/>
      <c r="BA128" s="3">
        <f t="shared" si="2"/>
        <v>0</v>
      </c>
      <c r="BB128" s="3"/>
      <c r="BC128" s="3">
        <f>+'St of Act-Rev'!AE128-BA128</f>
        <v>0</v>
      </c>
      <c r="BD128" s="3"/>
      <c r="BE128" s="3"/>
      <c r="BF128" s="3"/>
      <c r="BG128" s="3">
        <f t="shared" si="3"/>
        <v>0</v>
      </c>
      <c r="BH128" s="3"/>
      <c r="BI128" s="3">
        <f>+'St of Net Assets'!Y128-BG128</f>
        <v>0</v>
      </c>
    </row>
    <row r="129" spans="1:61">
      <c r="A129" s="3" t="s">
        <v>201</v>
      </c>
      <c r="B129" s="13"/>
      <c r="C129" s="13" t="s">
        <v>261</v>
      </c>
      <c r="E129" s="3">
        <v>148115</v>
      </c>
      <c r="F129" s="3"/>
      <c r="G129" s="3">
        <v>1300642</v>
      </c>
      <c r="H129" s="3"/>
      <c r="I129" s="3">
        <v>0</v>
      </c>
      <c r="J129" s="3"/>
      <c r="K129" s="3">
        <v>0</v>
      </c>
      <c r="L129" s="3"/>
      <c r="M129" s="3">
        <v>0</v>
      </c>
      <c r="N129" s="3"/>
      <c r="O129" s="3">
        <v>983366</v>
      </c>
      <c r="P129" s="3"/>
      <c r="Q129" s="3">
        <v>1051088</v>
      </c>
      <c r="R129" s="3"/>
      <c r="S129" s="3">
        <v>52778</v>
      </c>
      <c r="T129" s="3"/>
      <c r="U129" s="3">
        <v>422412</v>
      </c>
      <c r="V129" s="3"/>
      <c r="W129" s="3">
        <v>109776</v>
      </c>
      <c r="X129" s="3"/>
      <c r="Y129" s="3">
        <v>0</v>
      </c>
      <c r="Z129" s="3"/>
      <c r="AA129" s="3">
        <v>18447</v>
      </c>
      <c r="AB129" s="3"/>
      <c r="AC129" s="3" t="s">
        <v>201</v>
      </c>
      <c r="AD129" s="13"/>
      <c r="AE129" s="13" t="s">
        <v>261</v>
      </c>
      <c r="AF129" s="13"/>
      <c r="AG129" s="3">
        <v>0</v>
      </c>
      <c r="AH129" s="3"/>
      <c r="AI129" s="3">
        <v>35434</v>
      </c>
      <c r="AJ129" s="3"/>
      <c r="AK129" s="3"/>
      <c r="AL129" s="3"/>
      <c r="AM129" s="3">
        <v>0</v>
      </c>
      <c r="AN129" s="3"/>
      <c r="AO129" s="3">
        <v>0</v>
      </c>
      <c r="AP129" s="3"/>
      <c r="AQ129" s="3">
        <v>0</v>
      </c>
      <c r="AR129" s="3"/>
      <c r="AS129" s="3">
        <v>0</v>
      </c>
      <c r="AT129" s="3"/>
      <c r="AU129" s="3">
        <v>0</v>
      </c>
      <c r="AV129" s="3"/>
      <c r="AW129" s="3"/>
      <c r="AX129" s="3"/>
      <c r="AY129" s="3">
        <v>420525</v>
      </c>
      <c r="AZ129" s="3"/>
      <c r="BA129" s="3">
        <f>SUM(E129:AZ129)</f>
        <v>4542583</v>
      </c>
      <c r="BB129" s="3"/>
      <c r="BC129" s="3">
        <f>+'St of Act-Rev'!AE129-BA129</f>
        <v>-31012</v>
      </c>
      <c r="BD129" s="3"/>
      <c r="BE129" s="3">
        <v>278929</v>
      </c>
      <c r="BF129" s="3"/>
      <c r="BG129" s="3">
        <f t="shared" si="3"/>
        <v>247917</v>
      </c>
      <c r="BH129" s="3"/>
      <c r="BI129" s="3">
        <f>+'St of Net Assets'!Y129-BG129</f>
        <v>0</v>
      </c>
    </row>
    <row r="130" spans="1:61">
      <c r="A130" s="3" t="s">
        <v>340</v>
      </c>
      <c r="B130" s="13"/>
      <c r="C130" s="13" t="s">
        <v>206</v>
      </c>
      <c r="E130" s="3">
        <v>1441523</v>
      </c>
      <c r="F130" s="3"/>
      <c r="G130" s="3">
        <v>4472403</v>
      </c>
      <c r="H130" s="3"/>
      <c r="I130" s="3">
        <v>0</v>
      </c>
      <c r="J130" s="3"/>
      <c r="K130" s="3">
        <v>8337</v>
      </c>
      <c r="L130" s="3"/>
      <c r="M130" s="3">
        <v>0</v>
      </c>
      <c r="N130" s="3"/>
      <c r="O130" s="3">
        <v>3163104</v>
      </c>
      <c r="P130" s="3"/>
      <c r="Q130" s="3">
        <v>3001532</v>
      </c>
      <c r="R130" s="3"/>
      <c r="S130" s="3">
        <v>41696</v>
      </c>
      <c r="T130" s="3"/>
      <c r="U130" s="3">
        <v>1128469</v>
      </c>
      <c r="V130" s="3"/>
      <c r="W130" s="3">
        <v>705919</v>
      </c>
      <c r="X130" s="3"/>
      <c r="Y130" s="3">
        <v>0</v>
      </c>
      <c r="Z130" s="3"/>
      <c r="AA130" s="3">
        <v>222773</v>
      </c>
      <c r="AB130" s="3"/>
      <c r="AC130" s="3" t="s">
        <v>340</v>
      </c>
      <c r="AD130" s="13"/>
      <c r="AE130" s="13" t="s">
        <v>206</v>
      </c>
      <c r="AF130" s="13"/>
      <c r="AG130" s="3">
        <v>67768</v>
      </c>
      <c r="AH130" s="3"/>
      <c r="AI130" s="3">
        <v>431180</v>
      </c>
      <c r="AJ130" s="3"/>
      <c r="AK130" s="3"/>
      <c r="AL130" s="3"/>
      <c r="AM130" s="3">
        <v>0</v>
      </c>
      <c r="AN130" s="3"/>
      <c r="AO130" s="3">
        <v>27158</v>
      </c>
      <c r="AP130" s="3"/>
      <c r="AQ130" s="3">
        <v>0</v>
      </c>
      <c r="AR130" s="3"/>
      <c r="AS130" s="3">
        <v>0</v>
      </c>
      <c r="AT130" s="3"/>
      <c r="AU130" s="3">
        <v>0</v>
      </c>
      <c r="AV130" s="3"/>
      <c r="AW130" s="3"/>
      <c r="AX130" s="3"/>
      <c r="AY130" s="3">
        <v>95562</v>
      </c>
      <c r="AZ130" s="3"/>
      <c r="BA130" s="3">
        <f t="shared" si="2"/>
        <v>14807424</v>
      </c>
      <c r="BB130" s="3"/>
      <c r="BC130" s="3">
        <f>+'St of Act-Rev'!AE130-BA130</f>
        <v>-501939</v>
      </c>
      <c r="BD130" s="3"/>
      <c r="BE130" s="3">
        <v>6027776</v>
      </c>
      <c r="BF130" s="3"/>
      <c r="BG130" s="3">
        <f t="shared" si="3"/>
        <v>5525837</v>
      </c>
      <c r="BH130" s="3"/>
      <c r="BI130" s="3">
        <f>+'St of Net Assets'!Y130-BG130</f>
        <v>0</v>
      </c>
    </row>
    <row r="131" spans="1:61">
      <c r="A131" s="3"/>
      <c r="E131" s="3"/>
      <c r="K131" s="23"/>
    </row>
    <row r="132" spans="1:6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AA132" s="30" t="s">
        <v>257</v>
      </c>
    </row>
    <row r="133" spans="1:61">
      <c r="K133" s="23"/>
    </row>
    <row r="134" spans="1:61">
      <c r="K134" s="23"/>
    </row>
    <row r="135" spans="1:61">
      <c r="K135" s="23"/>
    </row>
    <row r="136" spans="1:61">
      <c r="K136" s="23"/>
    </row>
    <row r="137" spans="1:61">
      <c r="K137" s="23"/>
    </row>
    <row r="138" spans="1:61">
      <c r="E138" s="3"/>
      <c r="F138" s="3"/>
      <c r="G138" s="3"/>
      <c r="H138" s="3"/>
      <c r="I138" s="3"/>
      <c r="J138" s="3"/>
      <c r="K138" s="2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13"/>
      <c r="AD138" s="13"/>
      <c r="AE138" s="13"/>
      <c r="AF138" s="1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61">
      <c r="K139" s="23"/>
    </row>
    <row r="140" spans="1:61">
      <c r="K140" s="23"/>
    </row>
    <row r="141" spans="1:61">
      <c r="K141" s="23"/>
    </row>
    <row r="142" spans="1:61">
      <c r="K142" s="23"/>
    </row>
    <row r="143" spans="1:61">
      <c r="K143" s="23"/>
    </row>
    <row r="144" spans="1:61">
      <c r="K144" s="23"/>
    </row>
    <row r="145" spans="11:11">
      <c r="K145" s="23"/>
    </row>
    <row r="146" spans="11:11">
      <c r="K146" s="23">
        <v>18747</v>
      </c>
    </row>
    <row r="147" spans="11:11">
      <c r="K147" s="23"/>
    </row>
    <row r="148" spans="11:11">
      <c r="K148" s="23"/>
    </row>
    <row r="149" spans="11:11">
      <c r="K149" s="23"/>
    </row>
    <row r="150" spans="11:11">
      <c r="K150" s="23"/>
    </row>
    <row r="151" spans="11:11">
      <c r="K151" s="23"/>
    </row>
    <row r="152" spans="11:11">
      <c r="K152" s="23"/>
    </row>
    <row r="153" spans="11:11">
      <c r="K153" s="23"/>
    </row>
    <row r="154" spans="11:11">
      <c r="K154" s="23"/>
    </row>
    <row r="155" spans="11:11">
      <c r="K155" s="50"/>
    </row>
    <row r="156" spans="11:11">
      <c r="K156" s="23"/>
    </row>
    <row r="157" spans="11:11">
      <c r="K157" s="23"/>
    </row>
    <row r="158" spans="11:11">
      <c r="K158" s="23"/>
    </row>
    <row r="159" spans="11:11">
      <c r="K159" s="23"/>
    </row>
    <row r="160" spans="11:11">
      <c r="K160" s="23"/>
    </row>
    <row r="161" spans="11:11">
      <c r="K161" s="23"/>
    </row>
    <row r="162" spans="11:11">
      <c r="K162" s="23"/>
    </row>
    <row r="163" spans="11:11">
      <c r="K163" s="23"/>
    </row>
    <row r="164" spans="11:11">
      <c r="K164" s="23"/>
    </row>
    <row r="165" spans="11:11">
      <c r="K165" s="23"/>
    </row>
    <row r="166" spans="11:11">
      <c r="K166" s="23"/>
    </row>
    <row r="167" spans="11:11">
      <c r="K167" s="23"/>
    </row>
    <row r="168" spans="11:11">
      <c r="K168" s="23"/>
    </row>
    <row r="169" spans="11:11">
      <c r="K169" s="23"/>
    </row>
    <row r="170" spans="11:11">
      <c r="K170" s="23"/>
    </row>
    <row r="171" spans="11:11">
      <c r="K171" s="23"/>
    </row>
    <row r="172" spans="11:11">
      <c r="K172" s="23"/>
    </row>
    <row r="173" spans="11:11">
      <c r="K173" s="23"/>
    </row>
    <row r="174" spans="11:11">
      <c r="K174" s="23"/>
    </row>
    <row r="175" spans="11:11">
      <c r="K175" s="23"/>
    </row>
    <row r="176" spans="11:11">
      <c r="K176" s="23"/>
    </row>
    <row r="177" spans="11:11">
      <c r="K177" s="23"/>
    </row>
    <row r="178" spans="11:11">
      <c r="K178" s="23"/>
    </row>
    <row r="179" spans="11:11">
      <c r="K179" s="23"/>
    </row>
    <row r="180" spans="11:11">
      <c r="K180" s="23"/>
    </row>
    <row r="181" spans="11:11">
      <c r="K181" s="23"/>
    </row>
    <row r="182" spans="11:11">
      <c r="K182" s="23"/>
    </row>
    <row r="183" spans="11:11">
      <c r="K183" s="23"/>
    </row>
    <row r="184" spans="11:11">
      <c r="K184" s="23"/>
    </row>
    <row r="185" spans="11:11">
      <c r="K185" s="23"/>
    </row>
    <row r="186" spans="11:11">
      <c r="K186" s="23"/>
    </row>
    <row r="187" spans="11:11">
      <c r="K187" s="23"/>
    </row>
    <row r="188" spans="11:11">
      <c r="K188" s="23"/>
    </row>
    <row r="189" spans="11:11">
      <c r="K189" s="23"/>
    </row>
    <row r="190" spans="11:11">
      <c r="K190" s="23"/>
    </row>
    <row r="191" spans="11:11">
      <c r="K191" s="23"/>
    </row>
    <row r="192" spans="11:11">
      <c r="K192" s="23"/>
    </row>
    <row r="193" spans="11:11">
      <c r="K193" s="23"/>
    </row>
    <row r="194" spans="11:11">
      <c r="K194" s="23"/>
    </row>
    <row r="195" spans="11:11">
      <c r="K195" s="23"/>
    </row>
    <row r="196" spans="11:11">
      <c r="K196" s="23"/>
    </row>
    <row r="197" spans="11:11">
      <c r="K197" s="23"/>
    </row>
    <row r="198" spans="11:11">
      <c r="K198" s="23"/>
    </row>
    <row r="199" spans="11:11">
      <c r="K199" s="23"/>
    </row>
    <row r="200" spans="11:11">
      <c r="K200" s="23"/>
    </row>
    <row r="201" spans="11:11">
      <c r="K201" s="23"/>
    </row>
    <row r="202" spans="11:11">
      <c r="K202" s="50"/>
    </row>
    <row r="203" spans="11:11">
      <c r="K203" s="23"/>
    </row>
    <row r="204" spans="11:11">
      <c r="K204" s="23"/>
    </row>
    <row r="205" spans="11:11">
      <c r="K205" s="23"/>
    </row>
    <row r="206" spans="11:11">
      <c r="K206" s="23"/>
    </row>
    <row r="207" spans="11:11">
      <c r="K207" s="23"/>
    </row>
    <row r="208" spans="11:11">
      <c r="K208" s="23"/>
    </row>
    <row r="209" spans="11:11">
      <c r="K209" s="23"/>
    </row>
    <row r="210" spans="11:11">
      <c r="K210" s="23"/>
    </row>
    <row r="211" spans="11:11">
      <c r="K211" s="23"/>
    </row>
    <row r="212" spans="11:11">
      <c r="K212" s="23"/>
    </row>
    <row r="213" spans="11:11">
      <c r="K213" s="23"/>
    </row>
    <row r="214" spans="11:11">
      <c r="K214" s="23"/>
    </row>
    <row r="215" spans="11:11">
      <c r="K215" s="23"/>
    </row>
    <row r="216" spans="11:11">
      <c r="K216" s="23"/>
    </row>
    <row r="217" spans="11:11">
      <c r="K217" s="23"/>
    </row>
    <row r="218" spans="11:11">
      <c r="K218" s="23"/>
    </row>
    <row r="219" spans="11:11">
      <c r="K219" s="23"/>
    </row>
    <row r="220" spans="11:11">
      <c r="K220" s="23"/>
    </row>
    <row r="221" spans="11:11">
      <c r="K221" s="23"/>
    </row>
    <row r="222" spans="11:11">
      <c r="K222" s="23"/>
    </row>
    <row r="223" spans="11:11">
      <c r="K223" s="23"/>
    </row>
    <row r="224" spans="11:11">
      <c r="K224" s="23"/>
    </row>
    <row r="225" spans="11:11">
      <c r="K225" s="23"/>
    </row>
    <row r="226" spans="11:11">
      <c r="K226" s="23"/>
    </row>
    <row r="227" spans="11:11">
      <c r="K227" s="23"/>
    </row>
    <row r="228" spans="11:11">
      <c r="K228" s="23"/>
    </row>
    <row r="229" spans="11:11">
      <c r="K229" s="23"/>
    </row>
    <row r="230" spans="11:11">
      <c r="K230" s="23"/>
    </row>
    <row r="231" spans="11:11">
      <c r="K231" s="50"/>
    </row>
    <row r="232" spans="11:11">
      <c r="K232" s="23"/>
    </row>
    <row r="233" spans="11:11">
      <c r="K233" s="23"/>
    </row>
    <row r="234" spans="11:11">
      <c r="K234" s="23"/>
    </row>
    <row r="235" spans="11:11">
      <c r="K235" s="23"/>
    </row>
    <row r="236" spans="11:11">
      <c r="K236" s="23"/>
    </row>
    <row r="237" spans="11:11">
      <c r="K237" s="23"/>
    </row>
    <row r="238" spans="11:11">
      <c r="K238" s="23"/>
    </row>
    <row r="239" spans="11:11">
      <c r="K239" s="23"/>
    </row>
    <row r="240" spans="11:11">
      <c r="K240" s="23"/>
    </row>
    <row r="241" spans="11:11">
      <c r="K241" s="23"/>
    </row>
    <row r="242" spans="11:11">
      <c r="K242" s="23"/>
    </row>
    <row r="243" spans="11:11">
      <c r="K243" s="23"/>
    </row>
    <row r="244" spans="11:11">
      <c r="K244" s="23"/>
    </row>
    <row r="245" spans="11:11">
      <c r="K245" s="23"/>
    </row>
    <row r="246" spans="11:11">
      <c r="K246" s="23"/>
    </row>
    <row r="247" spans="11:11">
      <c r="K247" s="23"/>
    </row>
    <row r="248" spans="11:11">
      <c r="K248" s="23"/>
    </row>
    <row r="249" spans="11:11">
      <c r="K249" s="23"/>
    </row>
    <row r="250" spans="11:11">
      <c r="K250" s="23"/>
    </row>
    <row r="251" spans="11:11">
      <c r="K251" s="23"/>
    </row>
    <row r="252" spans="11:11">
      <c r="K252" s="23"/>
    </row>
    <row r="253" spans="11:11">
      <c r="K253" s="23"/>
    </row>
    <row r="254" spans="11:11">
      <c r="K254" s="23"/>
    </row>
    <row r="255" spans="11:11">
      <c r="K255" s="23"/>
    </row>
    <row r="256" spans="11:11">
      <c r="K256" s="23"/>
    </row>
    <row r="257" spans="11:11">
      <c r="K257" s="23"/>
    </row>
    <row r="258" spans="11:11">
      <c r="K258" s="23"/>
    </row>
    <row r="259" spans="11:11">
      <c r="K259" s="23"/>
    </row>
    <row r="260" spans="11:11">
      <c r="K260" s="23"/>
    </row>
    <row r="261" spans="11:11">
      <c r="K261" s="23"/>
    </row>
    <row r="262" spans="11:11">
      <c r="K262" s="23"/>
    </row>
    <row r="263" spans="11:11">
      <c r="K263" s="23"/>
    </row>
    <row r="264" spans="11:11">
      <c r="K264" s="23"/>
    </row>
    <row r="265" spans="11:11">
      <c r="K265" s="23"/>
    </row>
    <row r="266" spans="11:11">
      <c r="K266" s="23"/>
    </row>
    <row r="267" spans="11:11">
      <c r="K267" s="23"/>
    </row>
    <row r="268" spans="11:11">
      <c r="K268" s="23"/>
    </row>
    <row r="269" spans="11:11">
      <c r="K269" s="23"/>
    </row>
    <row r="270" spans="11:11">
      <c r="K270" s="23"/>
    </row>
    <row r="271" spans="11:11">
      <c r="K271" s="23"/>
    </row>
    <row r="272" spans="11:11">
      <c r="K272" s="23"/>
    </row>
    <row r="273" spans="11:11">
      <c r="K273" s="23"/>
    </row>
    <row r="274" spans="11:11">
      <c r="K274" s="23"/>
    </row>
    <row r="275" spans="11:11">
      <c r="K275" s="23"/>
    </row>
    <row r="276" spans="11:11">
      <c r="K276" s="23"/>
    </row>
    <row r="277" spans="11:11">
      <c r="K277" s="23"/>
    </row>
    <row r="278" spans="11:11">
      <c r="K278" s="23"/>
    </row>
    <row r="279" spans="11:11">
      <c r="K279" s="23"/>
    </row>
    <row r="280" spans="11:11">
      <c r="K280" s="23"/>
    </row>
    <row r="281" spans="11:11">
      <c r="K281" s="23"/>
    </row>
    <row r="282" spans="11:11">
      <c r="K282" s="23"/>
    </row>
    <row r="283" spans="11:11">
      <c r="K283" s="23"/>
    </row>
    <row r="284" spans="11:11">
      <c r="K284" s="23"/>
    </row>
    <row r="285" spans="11:11">
      <c r="K285" s="23"/>
    </row>
    <row r="286" spans="11:11">
      <c r="K286" s="23"/>
    </row>
    <row r="287" spans="11:11">
      <c r="K287" s="23"/>
    </row>
    <row r="288" spans="11:11">
      <c r="K288" s="23"/>
    </row>
    <row r="289" spans="11:11">
      <c r="K289" s="23"/>
    </row>
    <row r="290" spans="11:11">
      <c r="K290" s="23"/>
    </row>
    <row r="291" spans="11:11">
      <c r="K291" s="23"/>
    </row>
    <row r="292" spans="11:11">
      <c r="K292" s="23"/>
    </row>
    <row r="293" spans="11:11">
      <c r="K293" s="23"/>
    </row>
    <row r="294" spans="11:11">
      <c r="K294" s="23"/>
    </row>
    <row r="295" spans="11:11">
      <c r="K295" s="23"/>
    </row>
    <row r="296" spans="11:11">
      <c r="K296" s="23"/>
    </row>
    <row r="297" spans="11:11">
      <c r="K297" s="23"/>
    </row>
    <row r="298" spans="11:11">
      <c r="K298" s="23"/>
    </row>
    <row r="299" spans="11:11">
      <c r="K299" s="23"/>
    </row>
    <row r="300" spans="11:11">
      <c r="K300" s="23"/>
    </row>
    <row r="301" spans="11:11">
      <c r="K301" s="23"/>
    </row>
    <row r="302" spans="11:11">
      <c r="K302" s="23"/>
    </row>
    <row r="303" spans="11:11">
      <c r="K303" s="23"/>
    </row>
    <row r="304" spans="11:11">
      <c r="K304" s="50"/>
    </row>
    <row r="305" spans="11:11">
      <c r="K305" s="23"/>
    </row>
    <row r="306" spans="11:11">
      <c r="K306" s="23"/>
    </row>
    <row r="307" spans="11:11">
      <c r="K307" s="23"/>
    </row>
    <row r="308" spans="11:11">
      <c r="K308" s="23"/>
    </row>
    <row r="309" spans="11:11">
      <c r="K309" s="23"/>
    </row>
    <row r="310" spans="11:11">
      <c r="K310" s="23"/>
    </row>
    <row r="311" spans="11:11">
      <c r="K311" s="23"/>
    </row>
    <row r="312" spans="11:11">
      <c r="K312" s="23"/>
    </row>
    <row r="313" spans="11:11">
      <c r="K313" s="23"/>
    </row>
    <row r="314" spans="11:11">
      <c r="K314" s="23"/>
    </row>
    <row r="315" spans="11:11">
      <c r="K315" s="23"/>
    </row>
    <row r="316" spans="11:11">
      <c r="K316" s="23"/>
    </row>
    <row r="317" spans="11:11">
      <c r="K317" s="23"/>
    </row>
    <row r="318" spans="11:11">
      <c r="K318" s="23"/>
    </row>
    <row r="319" spans="11:11">
      <c r="K319" s="23"/>
    </row>
    <row r="320" spans="11:11">
      <c r="K320" s="23"/>
    </row>
    <row r="321" spans="11:11">
      <c r="K321" s="23"/>
    </row>
    <row r="322" spans="11:11">
      <c r="K322" s="23"/>
    </row>
    <row r="323" spans="11:11">
      <c r="K323" s="23"/>
    </row>
    <row r="324" spans="11:11">
      <c r="K324" s="23"/>
    </row>
    <row r="325" spans="11:11">
      <c r="K325" s="23"/>
    </row>
    <row r="326" spans="11:11">
      <c r="K326" s="23"/>
    </row>
    <row r="327" spans="11:11">
      <c r="K327" s="23"/>
    </row>
    <row r="328" spans="11:11">
      <c r="K328" s="23"/>
    </row>
    <row r="329" spans="11:11">
      <c r="K329" s="23"/>
    </row>
    <row r="330" spans="11:11">
      <c r="K330" s="23"/>
    </row>
    <row r="331" spans="11:11">
      <c r="K331" s="23"/>
    </row>
    <row r="332" spans="11:11">
      <c r="K332" s="23"/>
    </row>
    <row r="333" spans="11:11">
      <c r="K333" s="23"/>
    </row>
    <row r="334" spans="11:11">
      <c r="K334" s="23"/>
    </row>
    <row r="335" spans="11:11">
      <c r="K335" s="23"/>
    </row>
    <row r="336" spans="11:11">
      <c r="K336" s="50"/>
    </row>
    <row r="337" spans="11:11">
      <c r="K337" s="23"/>
    </row>
    <row r="338" spans="11:11">
      <c r="K338" s="23"/>
    </row>
    <row r="339" spans="11:11">
      <c r="K339" s="23"/>
    </row>
    <row r="340" spans="11:11">
      <c r="K340" s="23"/>
    </row>
    <row r="341" spans="11:11">
      <c r="K341" s="23"/>
    </row>
    <row r="342" spans="11:11">
      <c r="K342" s="23"/>
    </row>
    <row r="343" spans="11:11">
      <c r="K343" s="23"/>
    </row>
    <row r="344" spans="11:11">
      <c r="K344" s="23"/>
    </row>
    <row r="345" spans="11:11">
      <c r="K345" s="23"/>
    </row>
    <row r="346" spans="11:11">
      <c r="K346" s="23"/>
    </row>
    <row r="347" spans="11:11">
      <c r="K347" s="23"/>
    </row>
    <row r="348" spans="11:11">
      <c r="K348" s="23"/>
    </row>
    <row r="349" spans="11:11">
      <c r="K349" s="23"/>
    </row>
    <row r="350" spans="11:11">
      <c r="K350" s="23"/>
    </row>
    <row r="351" spans="11:11">
      <c r="K351" s="23"/>
    </row>
    <row r="352" spans="11:11">
      <c r="K352" s="23"/>
    </row>
    <row r="353" spans="11:11">
      <c r="K353" s="23"/>
    </row>
    <row r="354" spans="11:11">
      <c r="K354" s="23"/>
    </row>
    <row r="355" spans="11:11">
      <c r="K355" s="23"/>
    </row>
    <row r="356" spans="11:11">
      <c r="K356" s="23"/>
    </row>
    <row r="357" spans="11:11">
      <c r="K357" s="23"/>
    </row>
    <row r="358" spans="11:11">
      <c r="K358" s="23"/>
    </row>
    <row r="359" spans="11:11">
      <c r="K359" s="23"/>
    </row>
    <row r="360" spans="11:11">
      <c r="K360" s="23"/>
    </row>
    <row r="361" spans="11:11">
      <c r="K361" s="23"/>
    </row>
    <row r="362" spans="11:11">
      <c r="K362" s="23"/>
    </row>
    <row r="363" spans="11:11">
      <c r="K363" s="23"/>
    </row>
    <row r="364" spans="11:11">
      <c r="K364" s="23"/>
    </row>
    <row r="365" spans="11:11">
      <c r="K365" s="23"/>
    </row>
    <row r="366" spans="11:11">
      <c r="K366" s="23"/>
    </row>
    <row r="367" spans="11:11">
      <c r="K367" s="23"/>
    </row>
    <row r="368" spans="11:11">
      <c r="K368" s="23"/>
    </row>
    <row r="369" spans="11:11">
      <c r="K369" s="23"/>
    </row>
    <row r="370" spans="11:11">
      <c r="K370" s="23"/>
    </row>
    <row r="371" spans="11:11">
      <c r="K371" s="23"/>
    </row>
    <row r="372" spans="11:11">
      <c r="K372" s="23"/>
    </row>
    <row r="373" spans="11:11">
      <c r="K373" s="23"/>
    </row>
    <row r="374" spans="11:11">
      <c r="K374" s="23"/>
    </row>
    <row r="375" spans="11:11">
      <c r="K375" s="23"/>
    </row>
    <row r="376" spans="11:11">
      <c r="K376" s="23"/>
    </row>
    <row r="377" spans="11:11">
      <c r="K377" s="23"/>
    </row>
    <row r="378" spans="11:11">
      <c r="K378" s="50"/>
    </row>
    <row r="379" spans="11:11">
      <c r="K379" s="23"/>
    </row>
    <row r="380" spans="11:11">
      <c r="K380" s="23"/>
    </row>
    <row r="381" spans="11:11">
      <c r="K381" s="23"/>
    </row>
    <row r="382" spans="11:11">
      <c r="K382" s="23"/>
    </row>
    <row r="383" spans="11:11">
      <c r="K383" s="23"/>
    </row>
    <row r="384" spans="11:11">
      <c r="K384" s="23"/>
    </row>
    <row r="385" spans="11:11">
      <c r="K385" s="23"/>
    </row>
    <row r="386" spans="11:11">
      <c r="K386" s="23"/>
    </row>
    <row r="387" spans="11:11">
      <c r="K387" s="23"/>
    </row>
    <row r="388" spans="11:11">
      <c r="K388" s="23"/>
    </row>
    <row r="389" spans="11:11">
      <c r="K389" s="23"/>
    </row>
    <row r="390" spans="11:11">
      <c r="K390" s="23"/>
    </row>
    <row r="391" spans="11:11">
      <c r="K391" s="23"/>
    </row>
    <row r="392" spans="11:11">
      <c r="K392" s="23"/>
    </row>
    <row r="393" spans="11:11">
      <c r="K393" s="23"/>
    </row>
    <row r="394" spans="11:11">
      <c r="K394" s="23"/>
    </row>
    <row r="395" spans="11:11">
      <c r="K395" s="23"/>
    </row>
    <row r="396" spans="11:11">
      <c r="K396" s="23"/>
    </row>
    <row r="397" spans="11:11">
      <c r="K397" s="23"/>
    </row>
    <row r="398" spans="11:11">
      <c r="K398" s="23"/>
    </row>
    <row r="399" spans="11:11">
      <c r="K399" s="23"/>
    </row>
    <row r="400" spans="11:11">
      <c r="K400" s="23"/>
    </row>
    <row r="401" spans="11:11">
      <c r="K401" s="23"/>
    </row>
    <row r="402" spans="11:11">
      <c r="K402" s="23"/>
    </row>
    <row r="403" spans="11:11">
      <c r="K403" s="23"/>
    </row>
    <row r="404" spans="11:11">
      <c r="K404" s="23"/>
    </row>
    <row r="405" spans="11:11">
      <c r="K405" s="23"/>
    </row>
    <row r="406" spans="11:11">
      <c r="K406" s="23"/>
    </row>
    <row r="407" spans="11:11">
      <c r="K407" s="23"/>
    </row>
    <row r="408" spans="11:11">
      <c r="K408" s="23"/>
    </row>
    <row r="409" spans="11:11">
      <c r="K409" s="23"/>
    </row>
    <row r="410" spans="11:11">
      <c r="K410" s="23"/>
    </row>
    <row r="411" spans="11:11">
      <c r="K411" s="23"/>
    </row>
    <row r="412" spans="11:11">
      <c r="K412" s="23"/>
    </row>
    <row r="413" spans="11:11">
      <c r="K413" s="23"/>
    </row>
    <row r="414" spans="11:11">
      <c r="K414" s="23"/>
    </row>
    <row r="415" spans="11:11">
      <c r="K415" s="23"/>
    </row>
    <row r="416" spans="11:11">
      <c r="K416" s="23"/>
    </row>
    <row r="417" spans="11:11">
      <c r="K417" s="23"/>
    </row>
    <row r="418" spans="11:11">
      <c r="K418" s="23"/>
    </row>
    <row r="419" spans="11:11">
      <c r="K419" s="23"/>
    </row>
    <row r="420" spans="11:11">
      <c r="K420" s="23"/>
    </row>
    <row r="421" spans="11:11">
      <c r="K421" s="23"/>
    </row>
    <row r="422" spans="11:11">
      <c r="K422" s="23"/>
    </row>
    <row r="423" spans="11:11">
      <c r="K423" s="23"/>
    </row>
    <row r="424" spans="11:11">
      <c r="K424" s="23"/>
    </row>
    <row r="425" spans="11:11">
      <c r="K425" s="23"/>
    </row>
    <row r="426" spans="11:11">
      <c r="K426" s="23"/>
    </row>
    <row r="427" spans="11:11">
      <c r="K427" s="23"/>
    </row>
    <row r="428" spans="11:11">
      <c r="K428" s="23"/>
    </row>
    <row r="429" spans="11:11">
      <c r="K429" s="23"/>
    </row>
    <row r="430" spans="11:11">
      <c r="K430" s="23"/>
    </row>
    <row r="431" spans="11:11">
      <c r="K431" s="23"/>
    </row>
    <row r="432" spans="11:11">
      <c r="K432" s="23"/>
    </row>
    <row r="433" spans="11:11">
      <c r="K433" s="23"/>
    </row>
    <row r="434" spans="11:11">
      <c r="K434" s="23"/>
    </row>
    <row r="435" spans="11:11">
      <c r="K435" s="23"/>
    </row>
    <row r="436" spans="11:11">
      <c r="K436" s="23"/>
    </row>
    <row r="437" spans="11:11">
      <c r="K437" s="23"/>
    </row>
    <row r="438" spans="11:11">
      <c r="K438" s="23"/>
    </row>
    <row r="439" spans="11:11">
      <c r="K439" s="23"/>
    </row>
    <row r="440" spans="11:11">
      <c r="K440" s="23"/>
    </row>
    <row r="441" spans="11:11">
      <c r="K441" s="23"/>
    </row>
    <row r="442" spans="11:11">
      <c r="K442" s="23"/>
    </row>
    <row r="443" spans="11:11">
      <c r="K443" s="23"/>
    </row>
    <row r="444" spans="11:11">
      <c r="K444" s="23"/>
    </row>
    <row r="445" spans="11:11">
      <c r="K445" s="23"/>
    </row>
    <row r="446" spans="11:11">
      <c r="K446" s="23"/>
    </row>
    <row r="447" spans="11:11">
      <c r="K447" s="23"/>
    </row>
    <row r="448" spans="11:11">
      <c r="K448" s="23"/>
    </row>
    <row r="449" spans="11:11">
      <c r="K449" s="23"/>
    </row>
    <row r="450" spans="11:11">
      <c r="K450" s="23"/>
    </row>
    <row r="451" spans="11:11">
      <c r="K451" s="23"/>
    </row>
    <row r="452" spans="11:11">
      <c r="K452" s="23"/>
    </row>
    <row r="453" spans="11:11">
      <c r="K453" s="23"/>
    </row>
    <row r="454" spans="11:11">
      <c r="K454" s="23"/>
    </row>
    <row r="455" spans="11:11">
      <c r="K455" s="50"/>
    </row>
    <row r="456" spans="11:11">
      <c r="K456" s="23"/>
    </row>
    <row r="457" spans="11:11">
      <c r="K457" s="23"/>
    </row>
    <row r="458" spans="11:11">
      <c r="K458" s="23"/>
    </row>
    <row r="459" spans="11:11">
      <c r="K459" s="23"/>
    </row>
    <row r="460" spans="11:11">
      <c r="K460" s="23"/>
    </row>
    <row r="461" spans="11:11">
      <c r="K461" s="23"/>
    </row>
    <row r="462" spans="11:11">
      <c r="K462" s="23"/>
    </row>
    <row r="463" spans="11:11">
      <c r="K463" s="23"/>
    </row>
    <row r="464" spans="11:11">
      <c r="K464" s="23"/>
    </row>
    <row r="465" spans="11:11">
      <c r="K465" s="23"/>
    </row>
    <row r="466" spans="11:11">
      <c r="K466" s="23"/>
    </row>
    <row r="467" spans="11:11">
      <c r="K467" s="23"/>
    </row>
    <row r="468" spans="11:11">
      <c r="K468" s="23"/>
    </row>
    <row r="469" spans="11:11">
      <c r="K469" s="23"/>
    </row>
    <row r="470" spans="11:11">
      <c r="K470" s="23"/>
    </row>
    <row r="471" spans="11:11">
      <c r="K471" s="23"/>
    </row>
    <row r="472" spans="11:11">
      <c r="K472" s="23"/>
    </row>
    <row r="473" spans="11:11">
      <c r="K473" s="23"/>
    </row>
    <row r="474" spans="11:11">
      <c r="K474" s="23"/>
    </row>
    <row r="475" spans="11:11">
      <c r="K475" s="23"/>
    </row>
    <row r="476" spans="11:11">
      <c r="K476" s="23"/>
    </row>
    <row r="477" spans="11:11">
      <c r="K477" s="23"/>
    </row>
    <row r="478" spans="11:11">
      <c r="K478" s="23"/>
    </row>
    <row r="479" spans="11:11">
      <c r="K479" s="23"/>
    </row>
    <row r="480" spans="11:11">
      <c r="K480" s="23"/>
    </row>
    <row r="481" spans="11:11">
      <c r="K481" s="23"/>
    </row>
    <row r="482" spans="11:11">
      <c r="K482" s="23"/>
    </row>
    <row r="483" spans="11:11">
      <c r="K483" s="23"/>
    </row>
    <row r="484" spans="11:11">
      <c r="K484" s="23"/>
    </row>
    <row r="485" spans="11:11">
      <c r="K485" s="23"/>
    </row>
    <row r="486" spans="11:11">
      <c r="K486" s="23"/>
    </row>
    <row r="487" spans="11:11">
      <c r="K487" s="23"/>
    </row>
    <row r="488" spans="11:11">
      <c r="K488" s="23"/>
    </row>
    <row r="489" spans="11:11">
      <c r="K489" s="23"/>
    </row>
    <row r="490" spans="11:11">
      <c r="K490" s="23"/>
    </row>
    <row r="491" spans="11:11">
      <c r="K491" s="23"/>
    </row>
    <row r="492" spans="11:11">
      <c r="K492" s="23"/>
    </row>
    <row r="493" spans="11:11">
      <c r="K493" s="23"/>
    </row>
    <row r="494" spans="11:11">
      <c r="K494" s="23"/>
    </row>
    <row r="495" spans="11:11">
      <c r="K495" s="23"/>
    </row>
    <row r="496" spans="11:11">
      <c r="K496" s="23"/>
    </row>
    <row r="497" spans="11:11">
      <c r="K497" s="23"/>
    </row>
    <row r="498" spans="11:11">
      <c r="K498" s="23"/>
    </row>
    <row r="499" spans="11:11">
      <c r="K499" s="23"/>
    </row>
    <row r="500" spans="11:11">
      <c r="K500" s="23"/>
    </row>
    <row r="501" spans="11:11">
      <c r="K501" s="23"/>
    </row>
    <row r="502" spans="11:11">
      <c r="K502" s="23"/>
    </row>
    <row r="503" spans="11:11">
      <c r="K503" s="23"/>
    </row>
    <row r="504" spans="11:11">
      <c r="K504" s="23"/>
    </row>
    <row r="505" spans="11:11">
      <c r="K505" s="23"/>
    </row>
    <row r="506" spans="11:11">
      <c r="K506" s="23"/>
    </row>
    <row r="507" spans="11:11">
      <c r="K507" s="23"/>
    </row>
    <row r="508" spans="11:11">
      <c r="K508" s="23"/>
    </row>
    <row r="509" spans="11:11">
      <c r="K509" s="23"/>
    </row>
    <row r="510" spans="11:11">
      <c r="K510" s="23"/>
    </row>
    <row r="511" spans="11:11">
      <c r="K511" s="23"/>
    </row>
    <row r="512" spans="11:11">
      <c r="K512" s="23"/>
    </row>
    <row r="513" spans="11:11">
      <c r="K513" s="23"/>
    </row>
    <row r="514" spans="11:11">
      <c r="K514" s="23"/>
    </row>
    <row r="515" spans="11:11">
      <c r="K515" s="23"/>
    </row>
    <row r="516" spans="11:11">
      <c r="K516" s="23"/>
    </row>
    <row r="517" spans="11:11">
      <c r="K517" s="23"/>
    </row>
    <row r="518" spans="11:11">
      <c r="K518" s="23"/>
    </row>
    <row r="519" spans="11:11">
      <c r="K519" s="23"/>
    </row>
    <row r="520" spans="11:11">
      <c r="K520" s="23"/>
    </row>
    <row r="521" spans="11:11">
      <c r="K521" s="23"/>
    </row>
    <row r="522" spans="11:11">
      <c r="K522" s="23"/>
    </row>
    <row r="523" spans="11:11">
      <c r="K523" s="50"/>
    </row>
    <row r="524" spans="11:11">
      <c r="K524" s="23"/>
    </row>
    <row r="525" spans="11:11">
      <c r="K525" s="23"/>
    </row>
    <row r="526" spans="11:11">
      <c r="K526" s="23"/>
    </row>
    <row r="527" spans="11:11">
      <c r="K527" s="23"/>
    </row>
    <row r="528" spans="11:11">
      <c r="K528" s="23"/>
    </row>
    <row r="529" spans="11:11">
      <c r="K529" s="23"/>
    </row>
    <row r="530" spans="11:11">
      <c r="K530" s="23"/>
    </row>
    <row r="531" spans="11:11">
      <c r="K531" s="23"/>
    </row>
    <row r="532" spans="11:11">
      <c r="K532" s="23"/>
    </row>
    <row r="533" spans="11:11">
      <c r="K533" s="23"/>
    </row>
    <row r="534" spans="11:11">
      <c r="K534" s="23"/>
    </row>
    <row r="535" spans="11:11">
      <c r="K535" s="23"/>
    </row>
    <row r="536" spans="11:11">
      <c r="K536" s="23"/>
    </row>
    <row r="537" spans="11:11">
      <c r="K537" s="23"/>
    </row>
    <row r="538" spans="11:11">
      <c r="K538" s="23"/>
    </row>
    <row r="539" spans="11:11">
      <c r="K539" s="23"/>
    </row>
    <row r="540" spans="11:11">
      <c r="K540" s="23"/>
    </row>
    <row r="541" spans="11:11">
      <c r="K541" s="23"/>
    </row>
    <row r="542" spans="11:11">
      <c r="K542" s="23"/>
    </row>
    <row r="543" spans="11:11">
      <c r="K543" s="23"/>
    </row>
    <row r="544" spans="11:11">
      <c r="K544" s="23"/>
    </row>
    <row r="545" spans="11:11">
      <c r="K545" s="23"/>
    </row>
    <row r="546" spans="11:11">
      <c r="K546" s="23"/>
    </row>
    <row r="547" spans="11:11">
      <c r="K547" s="23"/>
    </row>
    <row r="548" spans="11:11">
      <c r="K548" s="23"/>
    </row>
    <row r="549" spans="11:11">
      <c r="K549" s="23"/>
    </row>
    <row r="550" spans="11:11">
      <c r="K550" s="23"/>
    </row>
    <row r="551" spans="11:11">
      <c r="K551" s="23"/>
    </row>
    <row r="552" spans="11:11">
      <c r="K552" s="23"/>
    </row>
    <row r="553" spans="11:11">
      <c r="K553" s="23"/>
    </row>
    <row r="554" spans="11:11">
      <c r="K554" s="23"/>
    </row>
    <row r="555" spans="11:11">
      <c r="K555" s="23"/>
    </row>
    <row r="556" spans="11:11">
      <c r="K556" s="23"/>
    </row>
    <row r="557" spans="11:11">
      <c r="K557" s="23"/>
    </row>
    <row r="558" spans="11:11">
      <c r="K558" s="23"/>
    </row>
    <row r="559" spans="11:11">
      <c r="K559" s="23"/>
    </row>
    <row r="560" spans="11:11">
      <c r="K560" s="23"/>
    </row>
    <row r="561" spans="11:11">
      <c r="K561" s="23"/>
    </row>
    <row r="562" spans="11:11">
      <c r="K562" s="23"/>
    </row>
    <row r="563" spans="11:11">
      <c r="K563" s="23"/>
    </row>
    <row r="564" spans="11:11">
      <c r="K564" s="23"/>
    </row>
    <row r="565" spans="11:11">
      <c r="K565" s="23"/>
    </row>
    <row r="566" spans="11:11">
      <c r="K566" s="23"/>
    </row>
    <row r="567" spans="11:11">
      <c r="K567" s="23"/>
    </row>
    <row r="568" spans="11:11">
      <c r="K568" s="23"/>
    </row>
    <row r="569" spans="11:11">
      <c r="K569" s="23"/>
    </row>
    <row r="570" spans="11:11">
      <c r="K570" s="23"/>
    </row>
    <row r="571" spans="11:11">
      <c r="K571" s="23"/>
    </row>
    <row r="572" spans="11:11">
      <c r="K572" s="23"/>
    </row>
    <row r="573" spans="11:11">
      <c r="K573" s="23"/>
    </row>
    <row r="574" spans="11:11">
      <c r="K574" s="23"/>
    </row>
    <row r="575" spans="11:11">
      <c r="K575" s="23"/>
    </row>
    <row r="576" spans="11:11">
      <c r="K576" s="23"/>
    </row>
    <row r="577" spans="11:11">
      <c r="K577" s="23"/>
    </row>
    <row r="578" spans="11:11">
      <c r="K578" s="23"/>
    </row>
    <row r="579" spans="11:11">
      <c r="K579" s="23"/>
    </row>
    <row r="580" spans="11:11">
      <c r="K580" s="23"/>
    </row>
    <row r="581" spans="11:11">
      <c r="K581" s="23"/>
    </row>
    <row r="582" spans="11:11">
      <c r="K582" s="23"/>
    </row>
    <row r="583" spans="11:11">
      <c r="K583" s="23"/>
    </row>
    <row r="584" spans="11:11">
      <c r="K584" s="23"/>
    </row>
    <row r="585" spans="11:11">
      <c r="K585" s="23"/>
    </row>
    <row r="586" spans="11:11">
      <c r="K586" s="23"/>
    </row>
    <row r="587" spans="11:11">
      <c r="K587" s="23"/>
    </row>
    <row r="588" spans="11:11">
      <c r="K588" s="23"/>
    </row>
    <row r="589" spans="11:11">
      <c r="K589" s="23"/>
    </row>
    <row r="590" spans="11:11">
      <c r="K590" s="23"/>
    </row>
    <row r="591" spans="11:11">
      <c r="K591" s="23"/>
    </row>
    <row r="592" spans="11:11">
      <c r="K592" s="23"/>
    </row>
    <row r="593" spans="11:11">
      <c r="K593" s="23"/>
    </row>
    <row r="594" spans="11:11">
      <c r="K594" s="23"/>
    </row>
    <row r="595" spans="11:11">
      <c r="K595" s="50"/>
    </row>
    <row r="596" spans="11:11">
      <c r="K596" s="23"/>
    </row>
    <row r="597" spans="11:11">
      <c r="K597" s="23"/>
    </row>
    <row r="598" spans="11:11">
      <c r="K598" s="23"/>
    </row>
    <row r="599" spans="11:11">
      <c r="K599" s="23"/>
    </row>
    <row r="600" spans="11:11">
      <c r="K600" s="23"/>
    </row>
    <row r="601" spans="11:11">
      <c r="K601" s="23"/>
    </row>
    <row r="602" spans="11:11">
      <c r="K602" s="23"/>
    </row>
    <row r="603" spans="11:11">
      <c r="K603" s="23"/>
    </row>
    <row r="604" spans="11:11">
      <c r="K604" s="23"/>
    </row>
    <row r="605" spans="11:11">
      <c r="K605" s="23"/>
    </row>
    <row r="606" spans="11:11">
      <c r="K606" s="23"/>
    </row>
    <row r="607" spans="11:11">
      <c r="K607" s="23"/>
    </row>
    <row r="608" spans="11:11">
      <c r="K608" s="23"/>
    </row>
    <row r="609" spans="11:11">
      <c r="K609" s="23"/>
    </row>
    <row r="610" spans="11:11">
      <c r="K610" s="23"/>
    </row>
    <row r="611" spans="11:11">
      <c r="K611" s="23"/>
    </row>
    <row r="612" spans="11:11">
      <c r="K612" s="23"/>
    </row>
    <row r="613" spans="11:11">
      <c r="K613" s="23"/>
    </row>
    <row r="614" spans="11:11">
      <c r="K614" s="23"/>
    </row>
    <row r="615" spans="11:11">
      <c r="K615" s="23"/>
    </row>
    <row r="616" spans="11:11">
      <c r="K616" s="23"/>
    </row>
    <row r="617" spans="11:11">
      <c r="K617" s="23"/>
    </row>
    <row r="618" spans="11:11">
      <c r="K618" s="23"/>
    </row>
    <row r="619" spans="11:11">
      <c r="K619" s="23"/>
    </row>
    <row r="620" spans="11:11">
      <c r="K620" s="23"/>
    </row>
    <row r="621" spans="11:11">
      <c r="K621" s="23"/>
    </row>
    <row r="622" spans="11:11">
      <c r="K622" s="24"/>
    </row>
    <row r="623" spans="11:11">
      <c r="K623" s="23"/>
    </row>
    <row r="624" spans="11:11">
      <c r="K624" s="23"/>
    </row>
    <row r="625" spans="11:11">
      <c r="K625" s="23"/>
    </row>
    <row r="626" spans="11:11">
      <c r="K626" s="23"/>
    </row>
    <row r="627" spans="11:11">
      <c r="K627" s="23"/>
    </row>
    <row r="628" spans="11:11">
      <c r="K628" s="23"/>
    </row>
    <row r="629" spans="11:11">
      <c r="K629" s="23"/>
    </row>
    <row r="630" spans="11:11">
      <c r="K630" s="23"/>
    </row>
    <row r="631" spans="11:11">
      <c r="K631" s="23"/>
    </row>
    <row r="632" spans="11:11">
      <c r="K632" s="23"/>
    </row>
    <row r="633" spans="11:11">
      <c r="K633" s="23"/>
    </row>
    <row r="634" spans="11:11">
      <c r="K634" s="23"/>
    </row>
    <row r="635" spans="11:11">
      <c r="K635" s="23"/>
    </row>
    <row r="636" spans="11:11">
      <c r="K636" s="23"/>
    </row>
    <row r="637" spans="11:11">
      <c r="K637" s="23"/>
    </row>
    <row r="638" spans="11:11">
      <c r="K638" s="23"/>
    </row>
    <row r="639" spans="11:11">
      <c r="K639" s="23"/>
    </row>
    <row r="640" spans="11:11">
      <c r="K640" s="23"/>
    </row>
    <row r="641" spans="11:11">
      <c r="K641" s="23"/>
    </row>
    <row r="642" spans="11:11">
      <c r="K642" s="23"/>
    </row>
    <row r="643" spans="11:11">
      <c r="K643" s="23"/>
    </row>
    <row r="644" spans="11:11">
      <c r="K644" s="23"/>
    </row>
    <row r="645" spans="11:11">
      <c r="K645" s="23"/>
    </row>
    <row r="646" spans="11:11">
      <c r="K646" s="23"/>
    </row>
    <row r="647" spans="11:11">
      <c r="K647" s="23"/>
    </row>
    <row r="648" spans="11:11">
      <c r="K648" s="23"/>
    </row>
    <row r="649" spans="11:11">
      <c r="K649" s="23"/>
    </row>
    <row r="650" spans="11:11">
      <c r="K650" s="23"/>
    </row>
    <row r="651" spans="11:11">
      <c r="K651" s="23"/>
    </row>
    <row r="652" spans="11:11">
      <c r="K652" s="23"/>
    </row>
    <row r="653" spans="11:11">
      <c r="K653" s="23"/>
    </row>
    <row r="654" spans="11:11">
      <c r="K654" s="23"/>
    </row>
    <row r="655" spans="11:11">
      <c r="K655" s="23"/>
    </row>
    <row r="656" spans="11:11">
      <c r="K656" s="23"/>
    </row>
    <row r="657" spans="11:11">
      <c r="K657" s="23"/>
    </row>
    <row r="658" spans="11:11">
      <c r="K658" s="23"/>
    </row>
    <row r="659" spans="11:11">
      <c r="K659" s="23"/>
    </row>
    <row r="660" spans="11:11">
      <c r="K660" s="23"/>
    </row>
    <row r="661" spans="11:11">
      <c r="K661" s="23"/>
    </row>
    <row r="662" spans="11:11">
      <c r="K662" s="23"/>
    </row>
    <row r="663" spans="11:11">
      <c r="K663" s="23"/>
    </row>
    <row r="664" spans="11:11">
      <c r="K664" s="23"/>
    </row>
    <row r="665" spans="11:11">
      <c r="K665" s="23"/>
    </row>
    <row r="666" spans="11:11">
      <c r="K666" s="23"/>
    </row>
    <row r="667" spans="11:11">
      <c r="K667" s="23"/>
    </row>
    <row r="668" spans="11:11">
      <c r="K668" s="23"/>
    </row>
    <row r="669" spans="11:11">
      <c r="K669" s="23"/>
    </row>
    <row r="670" spans="11:11">
      <c r="K670" s="23"/>
    </row>
    <row r="671" spans="11:11">
      <c r="K671" s="23"/>
    </row>
    <row r="672" spans="11:11">
      <c r="K672" s="23"/>
    </row>
    <row r="673" spans="11:11">
      <c r="K673" s="23"/>
    </row>
    <row r="674" spans="11:11">
      <c r="K674" s="23"/>
    </row>
    <row r="675" spans="11:11">
      <c r="K675" s="23"/>
    </row>
    <row r="676" spans="11:11">
      <c r="K676" s="23"/>
    </row>
    <row r="677" spans="11:11">
      <c r="K677" s="23"/>
    </row>
    <row r="678" spans="11:11">
      <c r="K678" s="23"/>
    </row>
    <row r="679" spans="11:11">
      <c r="K679" s="23"/>
    </row>
    <row r="680" spans="11:11">
      <c r="K680" s="23"/>
    </row>
    <row r="681" spans="11:11">
      <c r="K681" s="23"/>
    </row>
    <row r="682" spans="11:11">
      <c r="K682" s="23"/>
    </row>
    <row r="683" spans="11:11">
      <c r="K683" s="23"/>
    </row>
    <row r="684" spans="11:11">
      <c r="K684" s="23"/>
    </row>
    <row r="685" spans="11:11">
      <c r="K685" s="23"/>
    </row>
    <row r="686" spans="11:11">
      <c r="K686" s="23"/>
    </row>
    <row r="687" spans="11:11">
      <c r="K687" s="23"/>
    </row>
    <row r="688" spans="11:11">
      <c r="K688" s="23"/>
    </row>
    <row r="689" spans="11:11">
      <c r="K689" s="23"/>
    </row>
    <row r="690" spans="11:11">
      <c r="K690" s="23"/>
    </row>
    <row r="691" spans="11:11">
      <c r="K691" s="23"/>
    </row>
    <row r="692" spans="11:11">
      <c r="K692" s="23"/>
    </row>
    <row r="693" spans="11:11">
      <c r="K693" s="23"/>
    </row>
    <row r="694" spans="11:11">
      <c r="K694" s="23"/>
    </row>
    <row r="695" spans="11:11">
      <c r="K695" s="23"/>
    </row>
    <row r="696" spans="11:11">
      <c r="K696" s="23"/>
    </row>
    <row r="697" spans="11:11">
      <c r="K697" s="23"/>
    </row>
    <row r="698" spans="11:11">
      <c r="K698" s="23"/>
    </row>
    <row r="699" spans="11:11">
      <c r="K699" s="23"/>
    </row>
    <row r="700" spans="11:11">
      <c r="K700" s="23"/>
    </row>
    <row r="701" spans="11:11">
      <c r="K701" s="23"/>
    </row>
    <row r="702" spans="11:11">
      <c r="K702" s="23"/>
    </row>
    <row r="703" spans="11:11">
      <c r="K703" s="23"/>
    </row>
    <row r="704" spans="11:11">
      <c r="K704" s="23"/>
    </row>
    <row r="705" spans="11:11">
      <c r="K705" s="23"/>
    </row>
    <row r="706" spans="11:11">
      <c r="K706" s="23"/>
    </row>
    <row r="707" spans="11:11">
      <c r="K707" s="23"/>
    </row>
    <row r="708" spans="11:11">
      <c r="K708" s="23"/>
    </row>
    <row r="709" spans="11:11">
      <c r="K709" s="23"/>
    </row>
    <row r="710" spans="11:11">
      <c r="K710" s="23"/>
    </row>
    <row r="711" spans="11:11">
      <c r="K711" s="23"/>
    </row>
    <row r="712" spans="11:11">
      <c r="K712" s="23"/>
    </row>
    <row r="713" spans="11:11">
      <c r="K713" s="23"/>
    </row>
    <row r="714" spans="11:11">
      <c r="K714" s="23"/>
    </row>
    <row r="715" spans="11:11">
      <c r="K715" s="23"/>
    </row>
    <row r="716" spans="11:11">
      <c r="K716" s="23"/>
    </row>
    <row r="717" spans="11:11">
      <c r="K717" s="23"/>
    </row>
    <row r="718" spans="11:11">
      <c r="K718" s="23"/>
    </row>
    <row r="719" spans="11:11">
      <c r="K719" s="23"/>
    </row>
    <row r="720" spans="11:11">
      <c r="K720" s="23"/>
    </row>
    <row r="721" spans="11:11">
      <c r="K721" s="23"/>
    </row>
    <row r="722" spans="11:11">
      <c r="K722" s="23"/>
    </row>
    <row r="723" spans="11:11">
      <c r="K723" s="23"/>
    </row>
    <row r="724" spans="11:11">
      <c r="K724" s="23"/>
    </row>
    <row r="725" spans="11:11">
      <c r="K725" s="23"/>
    </row>
    <row r="726" spans="11:11">
      <c r="K726" s="23"/>
    </row>
    <row r="727" spans="11:11">
      <c r="K727" s="23"/>
    </row>
    <row r="728" spans="11:11">
      <c r="K728" s="23"/>
    </row>
    <row r="729" spans="11:11">
      <c r="K729" s="23"/>
    </row>
    <row r="730" spans="11:11">
      <c r="K730" s="23"/>
    </row>
    <row r="731" spans="11:11">
      <c r="K731" s="23"/>
    </row>
    <row r="732" spans="11:11">
      <c r="K732" s="23"/>
    </row>
    <row r="733" spans="11:11">
      <c r="K733" s="23"/>
    </row>
    <row r="734" spans="11:11">
      <c r="K734" s="23"/>
    </row>
    <row r="735" spans="11:11">
      <c r="K735" s="23"/>
    </row>
    <row r="736" spans="11:11">
      <c r="K736" s="23"/>
    </row>
    <row r="737" spans="11:11">
      <c r="K737" s="23"/>
    </row>
    <row r="738" spans="11:11">
      <c r="K738" s="23"/>
    </row>
    <row r="739" spans="11:11">
      <c r="K739" s="23"/>
    </row>
    <row r="740" spans="11:11">
      <c r="K740" s="23"/>
    </row>
    <row r="741" spans="11:11">
      <c r="K741" s="23"/>
    </row>
    <row r="742" spans="11:11">
      <c r="K742" s="23"/>
    </row>
    <row r="743" spans="11:11">
      <c r="K743" s="23"/>
    </row>
    <row r="744" spans="11:11">
      <c r="K744" s="23"/>
    </row>
    <row r="745" spans="11:11">
      <c r="K745" s="23"/>
    </row>
    <row r="746" spans="11:11">
      <c r="K746" s="23"/>
    </row>
    <row r="747" spans="11:11">
      <c r="K747" s="23"/>
    </row>
    <row r="748" spans="11:11">
      <c r="K748" s="23"/>
    </row>
    <row r="749" spans="11:11">
      <c r="K749" s="23"/>
    </row>
    <row r="750" spans="11:11">
      <c r="K750" s="23"/>
    </row>
    <row r="751" spans="11:11">
      <c r="K751" s="23"/>
    </row>
    <row r="752" spans="11:11">
      <c r="K752" s="23"/>
    </row>
    <row r="753" spans="11:11">
      <c r="K753" s="23"/>
    </row>
    <row r="754" spans="11:11">
      <c r="K754" s="23"/>
    </row>
    <row r="755" spans="11:11">
      <c r="K755" s="23"/>
    </row>
    <row r="756" spans="11:11">
      <c r="K756" s="23"/>
    </row>
    <row r="757" spans="11:11">
      <c r="K757" s="23"/>
    </row>
    <row r="758" spans="11:11">
      <c r="K758" s="23"/>
    </row>
    <row r="759" spans="11:11">
      <c r="K759" s="23"/>
    </row>
    <row r="760" spans="11:11">
      <c r="K760" s="23"/>
    </row>
    <row r="761" spans="11:11">
      <c r="K761" s="23"/>
    </row>
    <row r="762" spans="11:11">
      <c r="K762" s="23"/>
    </row>
    <row r="763" spans="11:11">
      <c r="K763" s="23"/>
    </row>
    <row r="764" spans="11:11">
      <c r="K764" s="23"/>
    </row>
    <row r="765" spans="11:11">
      <c r="K765" s="23"/>
    </row>
    <row r="766" spans="11:11">
      <c r="K766" s="23"/>
    </row>
    <row r="767" spans="11:11">
      <c r="K767" s="23"/>
    </row>
    <row r="768" spans="11:11">
      <c r="K768" s="23"/>
    </row>
    <row r="769" spans="11:11">
      <c r="K769" s="23"/>
    </row>
    <row r="770" spans="11:11">
      <c r="K770" s="23"/>
    </row>
    <row r="771" spans="11:11">
      <c r="K771" s="23"/>
    </row>
    <row r="772" spans="11:11">
      <c r="K772" s="23"/>
    </row>
    <row r="773" spans="11:11">
      <c r="K773" s="23"/>
    </row>
    <row r="774" spans="11:11">
      <c r="K774" s="23"/>
    </row>
    <row r="775" spans="11:11">
      <c r="K775" s="23"/>
    </row>
    <row r="776" spans="11:11">
      <c r="K776" s="23"/>
    </row>
    <row r="777" spans="11:11">
      <c r="K777" s="23"/>
    </row>
    <row r="778" spans="11:11">
      <c r="K778" s="23"/>
    </row>
    <row r="779" spans="11:11">
      <c r="K779" s="23"/>
    </row>
    <row r="780" spans="11:11">
      <c r="K780" s="23"/>
    </row>
    <row r="781" spans="11:11">
      <c r="K781" s="23"/>
    </row>
    <row r="782" spans="11:11">
      <c r="K782" s="23"/>
    </row>
    <row r="783" spans="11:11">
      <c r="K783" s="23"/>
    </row>
    <row r="784" spans="11:11">
      <c r="K784" s="23"/>
    </row>
    <row r="785" spans="11:11">
      <c r="K785" s="23"/>
    </row>
    <row r="786" spans="11:11">
      <c r="K786" s="23"/>
    </row>
    <row r="787" spans="11:11">
      <c r="K787" s="23"/>
    </row>
    <row r="788" spans="11:11">
      <c r="K788" s="23"/>
    </row>
    <row r="789" spans="11:11">
      <c r="K789" s="23"/>
    </row>
    <row r="790" spans="11:11">
      <c r="K790" s="23"/>
    </row>
    <row r="791" spans="11:11">
      <c r="K791" s="23"/>
    </row>
    <row r="792" spans="11:11">
      <c r="K792" s="23"/>
    </row>
    <row r="793" spans="11:11">
      <c r="K793" s="23"/>
    </row>
    <row r="794" spans="11:11">
      <c r="K794" s="23"/>
    </row>
    <row r="795" spans="11:11">
      <c r="K795" s="23"/>
    </row>
    <row r="796" spans="11:11">
      <c r="K796" s="23"/>
    </row>
    <row r="797" spans="11:11">
      <c r="K797" s="23"/>
    </row>
    <row r="798" spans="11:11">
      <c r="K798" s="23"/>
    </row>
    <row r="799" spans="11:11">
      <c r="K799" s="23"/>
    </row>
    <row r="800" spans="11:11">
      <c r="K800" s="23"/>
    </row>
    <row r="801" spans="11:11">
      <c r="K801" s="23"/>
    </row>
    <row r="802" spans="11:11">
      <c r="K802" s="23"/>
    </row>
    <row r="803" spans="11:11">
      <c r="K803" s="23"/>
    </row>
    <row r="804" spans="11:11">
      <c r="K804" s="23"/>
    </row>
    <row r="805" spans="11:11">
      <c r="K805" s="23"/>
    </row>
    <row r="806" spans="11:11">
      <c r="K806" s="23"/>
    </row>
    <row r="807" spans="11:11">
      <c r="K807" s="23"/>
    </row>
    <row r="808" spans="11:11">
      <c r="K808" s="23"/>
    </row>
    <row r="809" spans="11:11">
      <c r="K809" s="23"/>
    </row>
    <row r="810" spans="11:11">
      <c r="K810" s="23"/>
    </row>
    <row r="811" spans="11:11">
      <c r="K811" s="23"/>
    </row>
    <row r="812" spans="11:11">
      <c r="K812" s="23"/>
    </row>
    <row r="813" spans="11:11">
      <c r="K813" s="23"/>
    </row>
    <row r="814" spans="11:11">
      <c r="K814" s="23"/>
    </row>
    <row r="815" spans="11:11">
      <c r="K815" s="23"/>
    </row>
    <row r="816" spans="11:11">
      <c r="K816" s="23"/>
    </row>
    <row r="817" spans="11:11">
      <c r="K817" s="23"/>
    </row>
    <row r="818" spans="11:11">
      <c r="K818" s="23"/>
    </row>
    <row r="819" spans="11:11">
      <c r="K819" s="23"/>
    </row>
    <row r="820" spans="11:11">
      <c r="K820" s="23"/>
    </row>
    <row r="821" spans="11:11">
      <c r="K821" s="23"/>
    </row>
    <row r="822" spans="11:11">
      <c r="K822" s="23"/>
    </row>
    <row r="823" spans="11:11">
      <c r="K823" s="23"/>
    </row>
    <row r="824" spans="11:11">
      <c r="K824" s="23"/>
    </row>
    <row r="825" spans="11:11">
      <c r="K825" s="23"/>
    </row>
    <row r="826" spans="11:11">
      <c r="K826" s="23"/>
    </row>
    <row r="827" spans="11:11">
      <c r="K827" s="23"/>
    </row>
    <row r="828" spans="11:11">
      <c r="K828" s="23"/>
    </row>
    <row r="829" spans="11:11">
      <c r="K829" s="23"/>
    </row>
    <row r="830" spans="11:11">
      <c r="K830" s="23"/>
    </row>
    <row r="831" spans="11:11">
      <c r="K831" s="23"/>
    </row>
    <row r="832" spans="11:11">
      <c r="K832" s="23"/>
    </row>
    <row r="833" spans="11:11">
      <c r="K833" s="23"/>
    </row>
    <row r="834" spans="11:11">
      <c r="K834" s="23"/>
    </row>
    <row r="835" spans="11:11">
      <c r="K835" s="23"/>
    </row>
    <row r="836" spans="11:11">
      <c r="K836" s="23"/>
    </row>
    <row r="837" spans="11:11">
      <c r="K837" s="23"/>
    </row>
    <row r="838" spans="11:11">
      <c r="K838" s="23"/>
    </row>
    <row r="839" spans="11:11">
      <c r="K839" s="23"/>
    </row>
    <row r="840" spans="11:11">
      <c r="K840" s="23"/>
    </row>
    <row r="841" spans="11:11">
      <c r="K841" s="23"/>
    </row>
    <row r="842" spans="11:11">
      <c r="K842" s="23"/>
    </row>
    <row r="843" spans="11:11">
      <c r="K843" s="23"/>
    </row>
    <row r="844" spans="11:11">
      <c r="K844" s="23"/>
    </row>
    <row r="845" spans="11:11">
      <c r="K845" s="23"/>
    </row>
    <row r="846" spans="11:11">
      <c r="K846" s="23"/>
    </row>
    <row r="847" spans="11:11">
      <c r="K847" s="23"/>
    </row>
    <row r="848" spans="11:11">
      <c r="K848" s="23"/>
    </row>
    <row r="849" spans="11:11">
      <c r="K849" s="23"/>
    </row>
    <row r="850" spans="11:11">
      <c r="K850" s="23"/>
    </row>
    <row r="851" spans="11:11">
      <c r="K851" s="23"/>
    </row>
    <row r="852" spans="11:11">
      <c r="K852" s="23"/>
    </row>
    <row r="853" spans="11:11">
      <c r="K853" s="23"/>
    </row>
    <row r="854" spans="11:11">
      <c r="K854" s="23"/>
    </row>
    <row r="855" spans="11:11">
      <c r="K855" s="23"/>
    </row>
    <row r="856" spans="11:11">
      <c r="K856" s="23"/>
    </row>
    <row r="857" spans="11:11">
      <c r="K857" s="23"/>
    </row>
    <row r="858" spans="11:11">
      <c r="K858" s="23"/>
    </row>
    <row r="859" spans="11:11">
      <c r="K859" s="23"/>
    </row>
    <row r="860" spans="11:11">
      <c r="K860" s="23"/>
    </row>
    <row r="861" spans="11:11">
      <c r="K861" s="23"/>
    </row>
    <row r="862" spans="11:11">
      <c r="K862" s="23"/>
    </row>
    <row r="863" spans="11:11">
      <c r="K863" s="23"/>
    </row>
    <row r="864" spans="11:11">
      <c r="K864" s="23"/>
    </row>
    <row r="865" spans="11:11">
      <c r="K865" s="23"/>
    </row>
    <row r="866" spans="11:11">
      <c r="K866" s="23"/>
    </row>
    <row r="867" spans="11:11">
      <c r="K867" s="23"/>
    </row>
    <row r="868" spans="11:11">
      <c r="K868" s="23"/>
    </row>
    <row r="869" spans="11:11">
      <c r="K869" s="23"/>
    </row>
    <row r="870" spans="11:11">
      <c r="K870" s="23"/>
    </row>
    <row r="871" spans="11:11">
      <c r="K871" s="23"/>
    </row>
    <row r="872" spans="11:11">
      <c r="K872" s="23"/>
    </row>
    <row r="873" spans="11:11">
      <c r="K873" s="23"/>
    </row>
    <row r="874" spans="11:11">
      <c r="K874" s="23"/>
    </row>
    <row r="875" spans="11:11">
      <c r="K875" s="23"/>
    </row>
    <row r="876" spans="11:11">
      <c r="K876" s="23"/>
    </row>
    <row r="877" spans="11:11">
      <c r="K877" s="23"/>
    </row>
    <row r="878" spans="11:11">
      <c r="K878" s="23"/>
    </row>
    <row r="879" spans="11:11">
      <c r="K879" s="23"/>
    </row>
    <row r="880" spans="11:11">
      <c r="K880" s="23"/>
    </row>
    <row r="881" spans="11:11">
      <c r="K881" s="23"/>
    </row>
    <row r="882" spans="11:11">
      <c r="K882" s="23"/>
    </row>
    <row r="883" spans="11:11">
      <c r="K883" s="23"/>
    </row>
    <row r="884" spans="11:11">
      <c r="K884" s="23"/>
    </row>
    <row r="885" spans="11:11">
      <c r="K885" s="23"/>
    </row>
    <row r="886" spans="11:11">
      <c r="K886" s="23"/>
    </row>
    <row r="887" spans="11:11">
      <c r="K887" s="23"/>
    </row>
    <row r="888" spans="11:11">
      <c r="K888" s="23"/>
    </row>
    <row r="889" spans="11:11">
      <c r="K889" s="23"/>
    </row>
    <row r="890" spans="11:11">
      <c r="K890" s="23"/>
    </row>
    <row r="891" spans="11:11">
      <c r="K891" s="23"/>
    </row>
    <row r="892" spans="11:11">
      <c r="K892" s="23"/>
    </row>
    <row r="893" spans="11:11">
      <c r="K893" s="23"/>
    </row>
    <row r="894" spans="11:11">
      <c r="K894" s="23"/>
    </row>
    <row r="895" spans="11:11">
      <c r="K895" s="23"/>
    </row>
    <row r="896" spans="11:11">
      <c r="K896" s="23"/>
    </row>
    <row r="897" spans="11:11">
      <c r="K897" s="23"/>
    </row>
    <row r="898" spans="11:11">
      <c r="K898" s="23"/>
    </row>
    <row r="899" spans="11:11">
      <c r="K899" s="23"/>
    </row>
    <row r="900" spans="11:11">
      <c r="K900" s="23"/>
    </row>
    <row r="901" spans="11:11">
      <c r="K901" s="23"/>
    </row>
    <row r="902" spans="11:11">
      <c r="K902" s="23"/>
    </row>
    <row r="903" spans="11:11">
      <c r="K903" s="23"/>
    </row>
    <row r="904" spans="11:11">
      <c r="K904" s="23"/>
    </row>
    <row r="905" spans="11:11">
      <c r="K905" s="23"/>
    </row>
    <row r="906" spans="11:11">
      <c r="K906" s="23"/>
    </row>
    <row r="907" spans="11:11">
      <c r="K907" s="23"/>
    </row>
    <row r="908" spans="11:11">
      <c r="K908" s="23"/>
    </row>
    <row r="909" spans="11:11">
      <c r="K909" s="23"/>
    </row>
    <row r="910" spans="11:11">
      <c r="K910" s="23"/>
    </row>
    <row r="911" spans="11:11">
      <c r="K911" s="23"/>
    </row>
    <row r="912" spans="11:11">
      <c r="K912" s="23"/>
    </row>
    <row r="913" spans="11:11">
      <c r="K913" s="23"/>
    </row>
    <row r="914" spans="11:11">
      <c r="K914" s="23"/>
    </row>
    <row r="915" spans="11:11">
      <c r="K915" s="23"/>
    </row>
    <row r="916" spans="11:11">
      <c r="K916" s="23"/>
    </row>
    <row r="917" spans="11:11">
      <c r="K917" s="23"/>
    </row>
    <row r="918" spans="11:11">
      <c r="K918" s="23"/>
    </row>
    <row r="919" spans="11:11">
      <c r="K919" s="23"/>
    </row>
    <row r="920" spans="11:11">
      <c r="K920" s="23"/>
    </row>
    <row r="921" spans="11:11">
      <c r="K921" s="23"/>
    </row>
    <row r="922" spans="11:11">
      <c r="K922" s="23"/>
    </row>
    <row r="923" spans="11:11">
      <c r="K923" s="23"/>
    </row>
    <row r="924" spans="11:11">
      <c r="K924" s="23"/>
    </row>
    <row r="925" spans="11:11">
      <c r="K925" s="23"/>
    </row>
    <row r="926" spans="11:11">
      <c r="K926" s="23"/>
    </row>
    <row r="927" spans="11:11">
      <c r="K927" s="23"/>
    </row>
    <row r="928" spans="11:11">
      <c r="K928" s="23"/>
    </row>
    <row r="929" spans="11:11">
      <c r="K929" s="23"/>
    </row>
    <row r="930" spans="11:11">
      <c r="K930" s="23"/>
    </row>
    <row r="931" spans="11:11">
      <c r="K931" s="23"/>
    </row>
    <row r="932" spans="11:11">
      <c r="K932" s="23"/>
    </row>
    <row r="933" spans="11:11">
      <c r="K933" s="23"/>
    </row>
    <row r="934" spans="11:11">
      <c r="K934" s="23"/>
    </row>
    <row r="935" spans="11:11">
      <c r="K935" s="23"/>
    </row>
    <row r="936" spans="11:11">
      <c r="K936" s="23"/>
    </row>
    <row r="937" spans="11:11">
      <c r="K937" s="23"/>
    </row>
    <row r="938" spans="11:11">
      <c r="K938" s="23"/>
    </row>
    <row r="939" spans="11:11">
      <c r="K939" s="23"/>
    </row>
    <row r="940" spans="11:11">
      <c r="K940" s="23"/>
    </row>
    <row r="941" spans="11:11">
      <c r="K941" s="23"/>
    </row>
    <row r="942" spans="11:11">
      <c r="K942" s="23"/>
    </row>
    <row r="943" spans="11:11">
      <c r="K943" s="23"/>
    </row>
    <row r="944" spans="11:11">
      <c r="K944" s="23"/>
    </row>
    <row r="945" spans="11:11">
      <c r="K945" s="23"/>
    </row>
    <row r="946" spans="11:11">
      <c r="K946" s="23"/>
    </row>
    <row r="947" spans="11:11">
      <c r="K947" s="23"/>
    </row>
    <row r="948" spans="11:11">
      <c r="K948" s="23"/>
    </row>
    <row r="949" spans="11:11">
      <c r="K949" s="23"/>
    </row>
    <row r="950" spans="11:11">
      <c r="K950" s="23"/>
    </row>
    <row r="951" spans="11:11">
      <c r="K951" s="23"/>
    </row>
    <row r="952" spans="11:11">
      <c r="K952" s="23"/>
    </row>
    <row r="953" spans="11:11">
      <c r="K953" s="23"/>
    </row>
    <row r="954" spans="11:11">
      <c r="K954" s="23"/>
    </row>
    <row r="955" spans="11:11">
      <c r="K955" s="23"/>
    </row>
    <row r="956" spans="11:11">
      <c r="K956" s="23"/>
    </row>
    <row r="957" spans="11:11">
      <c r="K957" s="23"/>
    </row>
    <row r="958" spans="11:11">
      <c r="K958" s="23"/>
    </row>
    <row r="959" spans="11:11">
      <c r="K959" s="23"/>
    </row>
    <row r="960" spans="11:11">
      <c r="K960" s="23"/>
    </row>
    <row r="961" spans="11:11">
      <c r="K961" s="23"/>
    </row>
    <row r="962" spans="11:11">
      <c r="K962" s="23"/>
    </row>
    <row r="963" spans="11:11">
      <c r="K963" s="23"/>
    </row>
    <row r="964" spans="11:11">
      <c r="K964" s="23"/>
    </row>
    <row r="965" spans="11:11">
      <c r="K965" s="23"/>
    </row>
    <row r="966" spans="11:11">
      <c r="K966" s="23"/>
    </row>
    <row r="967" spans="11:11">
      <c r="K967" s="23"/>
    </row>
    <row r="968" spans="11:11">
      <c r="K968" s="23"/>
    </row>
    <row r="969" spans="11:11">
      <c r="K969" s="23"/>
    </row>
    <row r="970" spans="11:11">
      <c r="K970" s="23"/>
    </row>
    <row r="971" spans="11:11">
      <c r="K971" s="23"/>
    </row>
    <row r="972" spans="11:11">
      <c r="K972" s="23"/>
    </row>
    <row r="973" spans="11:11">
      <c r="K973" s="23"/>
    </row>
    <row r="974" spans="11:11">
      <c r="K974" s="23"/>
    </row>
    <row r="975" spans="11:11">
      <c r="K975" s="23"/>
    </row>
    <row r="976" spans="11:11">
      <c r="K976" s="23"/>
    </row>
    <row r="977" spans="11:11">
      <c r="K977" s="23"/>
    </row>
    <row r="978" spans="11:11">
      <c r="K978" s="23"/>
    </row>
    <row r="979" spans="11:11">
      <c r="K979" s="23"/>
    </row>
    <row r="980" spans="11:11">
      <c r="K980" s="23"/>
    </row>
    <row r="981" spans="11:11">
      <c r="K981" s="23"/>
    </row>
    <row r="982" spans="11:11">
      <c r="K982" s="23"/>
    </row>
    <row r="983" spans="11:11">
      <c r="K983" s="23"/>
    </row>
    <row r="984" spans="11:11">
      <c r="K984" s="23"/>
    </row>
    <row r="985" spans="11:11">
      <c r="K985" s="23"/>
    </row>
    <row r="986" spans="11:11">
      <c r="K986" s="23"/>
    </row>
    <row r="987" spans="11:11">
      <c r="K987" s="23"/>
    </row>
    <row r="988" spans="11:11">
      <c r="K988" s="23"/>
    </row>
    <row r="989" spans="11:11">
      <c r="K989" s="23"/>
    </row>
    <row r="990" spans="11:11">
      <c r="K990" s="23"/>
    </row>
    <row r="991" spans="11:11">
      <c r="K991" s="23"/>
    </row>
    <row r="992" spans="11:11">
      <c r="K992" s="23"/>
    </row>
    <row r="993" spans="11:11">
      <c r="K993" s="23"/>
    </row>
    <row r="994" spans="11:11">
      <c r="K994" s="23"/>
    </row>
    <row r="995" spans="11:11">
      <c r="K995" s="23"/>
    </row>
    <row r="996" spans="11:11">
      <c r="K996" s="23"/>
    </row>
    <row r="997" spans="11:11">
      <c r="K997" s="23"/>
    </row>
    <row r="998" spans="11:11">
      <c r="K998" s="23"/>
    </row>
    <row r="999" spans="11:11">
      <c r="K999" s="23"/>
    </row>
    <row r="1000" spans="11:11">
      <c r="K1000" s="23"/>
    </row>
    <row r="1001" spans="11:11">
      <c r="K1001" s="23"/>
    </row>
    <row r="1002" spans="11:11">
      <c r="K1002" s="23"/>
    </row>
    <row r="1003" spans="11:11">
      <c r="K1003" s="23"/>
    </row>
    <row r="1004" spans="11:11">
      <c r="K1004" s="23"/>
    </row>
    <row r="1005" spans="11:11">
      <c r="K1005" s="23"/>
    </row>
    <row r="1006" spans="11:11">
      <c r="K1006" s="23"/>
    </row>
  </sheetData>
  <mergeCells count="3">
    <mergeCell ref="AM7:AO7"/>
    <mergeCell ref="E7:K7"/>
    <mergeCell ref="O7:AA7"/>
  </mergeCells>
  <phoneticPr fontId="3" type="noConversion"/>
  <pageMargins left="0.9" right="0.75" top="0.5" bottom="0.5" header="0.25" footer="0.25"/>
  <pageSetup scale="80" firstPageNumber="16" pageOrder="overThenDown" orientation="portrait" useFirstPageNumber="1" r:id="rId1"/>
  <headerFooter scaleWithDoc="0" alignWithMargins="0"/>
  <rowBreaks count="1" manualBreakCount="1">
    <brk id="66" max="60" man="1"/>
  </rowBreaks>
  <colBreaks count="4" manualBreakCount="4">
    <brk id="12" max="131" man="1"/>
    <brk id="28" max="1048575" man="1"/>
    <brk id="41" max="1048575" man="1"/>
    <brk id="5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view="pageBreakPreview" zoomScaleNormal="100" zoomScaleSheetLayoutView="100" workbookViewId="0">
      <pane xSplit="4" ySplit="10" topLeftCell="E11" activePane="bottomRight" state="frozen"/>
      <selection activeCell="M146" sqref="M146"/>
      <selection pane="topRight" activeCell="M146" sqref="M146"/>
      <selection pane="bottomLeft" activeCell="M146" sqref="M146"/>
      <selection pane="bottomRight" activeCell="A7" sqref="A7"/>
    </sheetView>
  </sheetViews>
  <sheetFormatPr defaultRowHeight="12"/>
  <cols>
    <col min="1" max="1" width="40.7109375" style="24" customWidth="1"/>
    <col min="2" max="2" width="1.7109375" style="24" customWidth="1"/>
    <col min="3" max="3" width="11.7109375" style="24" customWidth="1"/>
    <col min="4" max="4" width="1.7109375" style="24" customWidth="1"/>
    <col min="5" max="5" width="11.7109375" style="24" customWidth="1"/>
    <col min="6" max="6" width="1.7109375" style="24" customWidth="1"/>
    <col min="7" max="7" width="11.7109375" style="24" customWidth="1"/>
    <col min="8" max="8" width="1.7109375" style="24" customWidth="1"/>
    <col min="9" max="9" width="11.7109375" style="24" customWidth="1"/>
    <col min="10" max="10" width="1.7109375" style="24" customWidth="1"/>
    <col min="11" max="11" width="11.7109375" style="24" customWidth="1"/>
    <col min="12" max="12" width="1.28515625" style="24" customWidth="1"/>
    <col min="13" max="13" width="10.5703125" style="24" customWidth="1"/>
    <col min="14" max="14" width="1.28515625" style="24" customWidth="1"/>
    <col min="15" max="15" width="10.42578125" style="24" customWidth="1"/>
    <col min="16" max="16" width="1.28515625" style="24" customWidth="1"/>
    <col min="17" max="17" width="10.140625" style="24" customWidth="1"/>
    <col min="18" max="18" width="1.28515625" style="24" customWidth="1"/>
    <col min="19" max="19" width="11.7109375" style="24" customWidth="1"/>
    <col min="20" max="20" width="1.28515625" style="24" customWidth="1"/>
    <col min="21" max="21" width="11.7109375" style="24" customWidth="1"/>
    <col min="22" max="22" width="1.28515625" style="24" customWidth="1"/>
    <col min="23" max="23" width="11.7109375" style="24" customWidth="1"/>
    <col min="24" max="24" width="1.28515625" style="24" customWidth="1"/>
    <col min="25" max="25" width="11.7109375" style="24" customWidth="1"/>
    <col min="26" max="26" width="1.28515625" style="24" customWidth="1"/>
    <col min="27" max="27" width="11.7109375" style="24" customWidth="1"/>
    <col min="28" max="28" width="1.28515625" style="24" customWidth="1"/>
    <col min="29" max="29" width="9.28515625" style="24" bestFit="1" customWidth="1"/>
    <col min="30" max="30" width="1.7109375" style="24" hidden="1" customWidth="1"/>
    <col min="31" max="31" width="11.7109375" style="27" hidden="1" customWidth="1"/>
    <col min="32" max="16384" width="9.140625" style="24"/>
  </cols>
  <sheetData>
    <row r="1" spans="1:31" s="13" customFormat="1">
      <c r="A1" s="40" t="s">
        <v>91</v>
      </c>
      <c r="B1" s="40"/>
      <c r="C1" s="40"/>
      <c r="D1" s="4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0"/>
      <c r="AE1" s="3"/>
    </row>
    <row r="2" spans="1:31" s="13" customFormat="1">
      <c r="A2" s="40" t="s">
        <v>350</v>
      </c>
      <c r="B2" s="40"/>
      <c r="C2" s="40"/>
      <c r="D2" s="4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0"/>
      <c r="AE2" s="3"/>
    </row>
    <row r="3" spans="1:31" s="13" customFormat="1">
      <c r="A3" s="53"/>
      <c r="B3" s="40"/>
      <c r="C3" s="40"/>
      <c r="D3" s="4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0"/>
      <c r="AE3" s="3"/>
    </row>
    <row r="4" spans="1:31" s="13" customFormat="1">
      <c r="A4" s="6" t="s">
        <v>260</v>
      </c>
      <c r="B4" s="16"/>
      <c r="C4" s="16"/>
      <c r="D4" s="4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"/>
      <c r="X4" s="3"/>
      <c r="Y4" s="3"/>
      <c r="Z4" s="3"/>
      <c r="AA4" s="3"/>
      <c r="AB4" s="3"/>
      <c r="AC4" s="3"/>
      <c r="AD4" s="22"/>
      <c r="AE4" s="3"/>
    </row>
    <row r="5" spans="1:31" s="13" customFormat="1">
      <c r="A5" s="16"/>
      <c r="B5" s="16"/>
      <c r="C5" s="16"/>
      <c r="D5" s="4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  <c r="X5" s="3"/>
      <c r="Y5" s="3"/>
      <c r="Z5" s="3"/>
      <c r="AA5" s="3"/>
      <c r="AB5" s="3"/>
      <c r="AC5" s="3"/>
      <c r="AD5" s="22"/>
      <c r="AE5" s="3"/>
    </row>
    <row r="6" spans="1:31" s="13" customFormat="1">
      <c r="A6" s="26" t="s">
        <v>317</v>
      </c>
      <c r="B6" s="16"/>
      <c r="C6" s="16"/>
      <c r="D6" s="4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3"/>
      <c r="AB6" s="3"/>
      <c r="AC6" s="3"/>
      <c r="AD6" s="22"/>
      <c r="AE6" s="3"/>
    </row>
    <row r="7" spans="1:31" s="3" customFormat="1">
      <c r="A7" s="42"/>
      <c r="E7" s="70" t="s">
        <v>2</v>
      </c>
      <c r="F7" s="70"/>
      <c r="G7" s="70"/>
      <c r="H7" s="70"/>
      <c r="I7" s="70"/>
      <c r="M7" s="70" t="s">
        <v>15</v>
      </c>
      <c r="N7" s="70"/>
      <c r="O7" s="70"/>
      <c r="S7" s="70" t="s">
        <v>342</v>
      </c>
      <c r="T7" s="70"/>
      <c r="U7" s="70"/>
      <c r="V7" s="70"/>
      <c r="W7" s="70"/>
      <c r="X7" s="70"/>
      <c r="Y7" s="70"/>
      <c r="Z7" s="70"/>
      <c r="AA7" s="70"/>
    </row>
    <row r="8" spans="1:31" s="18" customFormat="1">
      <c r="B8" s="43"/>
      <c r="C8" s="43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V8" s="2"/>
      <c r="W8" s="2"/>
      <c r="X8" s="2"/>
      <c r="Y8" s="2"/>
      <c r="Z8" s="2"/>
      <c r="AA8" s="2"/>
      <c r="AB8" s="2"/>
      <c r="AC8" s="2" t="s">
        <v>8</v>
      </c>
      <c r="AD8" s="19"/>
      <c r="AE8" s="10" t="s">
        <v>4</v>
      </c>
    </row>
    <row r="9" spans="1:31" s="18" customFormat="1">
      <c r="B9" s="8"/>
      <c r="C9" s="8"/>
      <c r="D9" s="8"/>
      <c r="E9" s="2" t="s">
        <v>92</v>
      </c>
      <c r="F9" s="2"/>
      <c r="G9" s="2" t="s">
        <v>18</v>
      </c>
      <c r="H9" s="2"/>
      <c r="I9" s="2" t="s">
        <v>84</v>
      </c>
      <c r="J9" s="2"/>
      <c r="K9" s="2" t="s">
        <v>8</v>
      </c>
      <c r="L9" s="2"/>
      <c r="M9" s="2"/>
      <c r="N9" s="2"/>
      <c r="O9" s="2" t="s">
        <v>7</v>
      </c>
      <c r="P9" s="2"/>
      <c r="Q9" s="2" t="s">
        <v>8</v>
      </c>
      <c r="R9" s="2"/>
      <c r="S9" s="2" t="s">
        <v>284</v>
      </c>
      <c r="T9" s="2"/>
      <c r="U9" s="2" t="s">
        <v>18</v>
      </c>
      <c r="V9" s="2"/>
      <c r="W9" s="2" t="s">
        <v>285</v>
      </c>
      <c r="X9" s="2"/>
      <c r="Y9" s="2" t="s">
        <v>286</v>
      </c>
      <c r="Z9" s="2"/>
      <c r="AA9" s="2" t="s">
        <v>287</v>
      </c>
      <c r="AB9" s="2"/>
      <c r="AC9" s="2" t="s">
        <v>93</v>
      </c>
      <c r="AD9" s="19"/>
      <c r="AE9" s="10" t="s">
        <v>94</v>
      </c>
    </row>
    <row r="10" spans="1:31" s="19" customFormat="1">
      <c r="A10" s="44" t="s">
        <v>282</v>
      </c>
      <c r="B10" s="18"/>
      <c r="C10" s="44" t="s">
        <v>12</v>
      </c>
      <c r="D10" s="8"/>
      <c r="E10" s="57" t="s">
        <v>14</v>
      </c>
      <c r="F10" s="2"/>
      <c r="G10" s="57" t="s">
        <v>2</v>
      </c>
      <c r="H10" s="2"/>
      <c r="I10" s="57" t="s">
        <v>2</v>
      </c>
      <c r="J10" s="2"/>
      <c r="K10" s="57" t="s">
        <v>2</v>
      </c>
      <c r="L10" s="2"/>
      <c r="M10" s="57" t="s">
        <v>15</v>
      </c>
      <c r="N10" s="2"/>
      <c r="O10" s="57" t="s">
        <v>95</v>
      </c>
      <c r="P10" s="2"/>
      <c r="Q10" s="57" t="s">
        <v>15</v>
      </c>
      <c r="R10" s="2"/>
      <c r="S10" s="57" t="s">
        <v>96</v>
      </c>
      <c r="T10" s="2"/>
      <c r="U10" s="57" t="s">
        <v>96</v>
      </c>
      <c r="V10" s="2"/>
      <c r="W10" s="57" t="s">
        <v>96</v>
      </c>
      <c r="X10" s="2"/>
      <c r="Y10" s="57" t="s">
        <v>96</v>
      </c>
      <c r="Z10" s="2"/>
      <c r="AA10" s="57" t="s">
        <v>96</v>
      </c>
      <c r="AB10" s="2"/>
      <c r="AC10" s="57" t="s">
        <v>118</v>
      </c>
      <c r="AE10" s="57" t="s">
        <v>20</v>
      </c>
    </row>
    <row r="11" spans="1:31" s="19" customFormat="1">
      <c r="B11" s="18"/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E11" s="2"/>
    </row>
    <row r="12" spans="1:31">
      <c r="A12" s="29" t="s">
        <v>255</v>
      </c>
    </row>
    <row r="13" spans="1:31">
      <c r="A13" s="29"/>
    </row>
    <row r="14" spans="1:31">
      <c r="A14" s="3" t="s">
        <v>288</v>
      </c>
      <c r="B14" s="3"/>
      <c r="C14" s="3" t="s">
        <v>263</v>
      </c>
      <c r="E14" s="17">
        <v>5500589</v>
      </c>
      <c r="F14" s="17"/>
      <c r="G14" s="17">
        <v>0</v>
      </c>
      <c r="H14" s="17"/>
      <c r="I14" s="64">
        <f>+K14-G14-E14</f>
        <v>3432183</v>
      </c>
      <c r="J14" s="17"/>
      <c r="K14" s="17">
        <v>8932772</v>
      </c>
      <c r="L14" s="17"/>
      <c r="M14" s="64">
        <f>+Q14-O14</f>
        <v>853459</v>
      </c>
      <c r="N14" s="17"/>
      <c r="O14" s="17">
        <v>3001435</v>
      </c>
      <c r="P14" s="17"/>
      <c r="Q14" s="17">
        <v>3854894</v>
      </c>
      <c r="R14" s="17"/>
      <c r="S14" s="17">
        <v>183699</v>
      </c>
      <c r="T14" s="17"/>
      <c r="U14" s="17">
        <v>0</v>
      </c>
      <c r="V14" s="17"/>
      <c r="W14" s="17">
        <v>20482</v>
      </c>
      <c r="X14" s="17"/>
      <c r="Y14" s="17">
        <v>527946</v>
      </c>
      <c r="Z14" s="17"/>
      <c r="AA14" s="17">
        <v>4345751</v>
      </c>
      <c r="AB14" s="17"/>
      <c r="AC14" s="65">
        <f>SUM(S14:AA14)</f>
        <v>5077878</v>
      </c>
      <c r="AD14" s="13"/>
      <c r="AE14" s="3">
        <f>+E14+G14+I14-M14-O14-Y14-W14-S14-U14-AA14</f>
        <v>0</v>
      </c>
    </row>
    <row r="15" spans="1:31" s="27" customFormat="1">
      <c r="A15" s="3" t="s">
        <v>241</v>
      </c>
      <c r="B15" s="3"/>
      <c r="C15" s="3" t="s">
        <v>145</v>
      </c>
      <c r="E15" s="3">
        <v>4131397</v>
      </c>
      <c r="F15" s="3"/>
      <c r="G15" s="3">
        <v>0</v>
      </c>
      <c r="H15" s="3"/>
      <c r="I15" s="7">
        <f>+K15-G15-E15</f>
        <v>2592680</v>
      </c>
      <c r="J15" s="3"/>
      <c r="K15" s="3">
        <v>6724077</v>
      </c>
      <c r="L15" s="3"/>
      <c r="M15" s="7">
        <f>+Q15-O15</f>
        <v>476371</v>
      </c>
      <c r="N15" s="3"/>
      <c r="O15" s="3">
        <v>2170694</v>
      </c>
      <c r="P15" s="3"/>
      <c r="Q15" s="3">
        <v>2647065</v>
      </c>
      <c r="R15" s="3"/>
      <c r="S15" s="3">
        <v>0</v>
      </c>
      <c r="T15" s="3"/>
      <c r="U15" s="3">
        <v>0</v>
      </c>
      <c r="V15" s="3"/>
      <c r="W15" s="3">
        <v>125742</v>
      </c>
      <c r="X15" s="3"/>
      <c r="Y15" s="3">
        <v>657379</v>
      </c>
      <c r="Z15" s="3"/>
      <c r="AA15" s="3">
        <v>3293891</v>
      </c>
      <c r="AB15" s="3"/>
      <c r="AC15" s="20">
        <f>SUM(S15:AA15)</f>
        <v>4077012</v>
      </c>
      <c r="AD15" s="3"/>
      <c r="AE15" s="3">
        <f t="shared" ref="AE15:AE79" si="0">+E15+G15+I15-M15-O15-Y15-W15-S15-U15-AA15</f>
        <v>0</v>
      </c>
    </row>
    <row r="16" spans="1:31">
      <c r="A16" s="3" t="s">
        <v>356</v>
      </c>
      <c r="B16" s="13"/>
      <c r="C16" s="13" t="s">
        <v>146</v>
      </c>
      <c r="E16" s="3">
        <v>5326619</v>
      </c>
      <c r="F16" s="3"/>
      <c r="G16" s="3">
        <v>6524</v>
      </c>
      <c r="H16" s="3"/>
      <c r="I16" s="7">
        <f>+K16-G16-E16</f>
        <v>4920184</v>
      </c>
      <c r="J16" s="3"/>
      <c r="K16" s="3">
        <v>10253327</v>
      </c>
      <c r="L16" s="3"/>
      <c r="M16" s="7">
        <f>+Q16-O16</f>
        <v>1015726</v>
      </c>
      <c r="N16" s="3"/>
      <c r="O16" s="3">
        <v>3050120</v>
      </c>
      <c r="P16" s="3"/>
      <c r="Q16" s="3">
        <v>4065846</v>
      </c>
      <c r="R16" s="3"/>
      <c r="S16" s="3">
        <v>41701</v>
      </c>
      <c r="T16" s="3"/>
      <c r="U16" s="3">
        <v>0</v>
      </c>
      <c r="V16" s="3"/>
      <c r="W16" s="3">
        <v>3234</v>
      </c>
      <c r="X16" s="3"/>
      <c r="Y16" s="3">
        <v>2538848</v>
      </c>
      <c r="Z16" s="3"/>
      <c r="AA16" s="3">
        <v>3603698</v>
      </c>
      <c r="AB16" s="3"/>
      <c r="AC16" s="20">
        <f t="shared" ref="AC16:AC64" si="1">SUM(S16:AA16)</f>
        <v>6187481</v>
      </c>
      <c r="AD16" s="13"/>
      <c r="AE16" s="3">
        <f t="shared" si="0"/>
        <v>0</v>
      </c>
    </row>
    <row r="17" spans="1:31">
      <c r="A17" s="3" t="s">
        <v>294</v>
      </c>
      <c r="B17" s="13"/>
      <c r="C17" s="13" t="s">
        <v>148</v>
      </c>
      <c r="E17" s="3">
        <v>6505279</v>
      </c>
      <c r="F17" s="3"/>
      <c r="G17" s="3">
        <v>0</v>
      </c>
      <c r="H17" s="3"/>
      <c r="I17" s="7">
        <f t="shared" ref="I17:I64" si="2">+K17-G17-E17</f>
        <v>7438612</v>
      </c>
      <c r="J17" s="3"/>
      <c r="K17" s="3">
        <v>13943891</v>
      </c>
      <c r="L17" s="3"/>
      <c r="M17" s="7">
        <f t="shared" ref="M17:M64" si="3">+Q17-O17</f>
        <v>628933</v>
      </c>
      <c r="N17" s="3"/>
      <c r="O17" s="3">
        <v>5389162</v>
      </c>
      <c r="P17" s="3"/>
      <c r="Q17" s="3">
        <v>6018095</v>
      </c>
      <c r="R17" s="3"/>
      <c r="S17" s="3">
        <v>1314178</v>
      </c>
      <c r="T17" s="3"/>
      <c r="U17" s="3">
        <v>0</v>
      </c>
      <c r="V17" s="3"/>
      <c r="W17" s="3">
        <v>0</v>
      </c>
      <c r="X17" s="3"/>
      <c r="Y17" s="3">
        <v>1584286</v>
      </c>
      <c r="Z17" s="3"/>
      <c r="AA17" s="3">
        <v>5027332</v>
      </c>
      <c r="AB17" s="3"/>
      <c r="AC17" s="20">
        <f t="shared" si="1"/>
        <v>7925796</v>
      </c>
      <c r="AD17" s="13"/>
      <c r="AE17" s="3">
        <f t="shared" si="0"/>
        <v>0</v>
      </c>
    </row>
    <row r="18" spans="1:31">
      <c r="A18" s="3" t="s">
        <v>295</v>
      </c>
      <c r="B18" s="13"/>
      <c r="C18" s="13" t="s">
        <v>151</v>
      </c>
      <c r="E18" s="3">
        <v>1214999</v>
      </c>
      <c r="F18" s="3"/>
      <c r="G18" s="3">
        <v>33817</v>
      </c>
      <c r="H18" s="3"/>
      <c r="I18" s="7">
        <f t="shared" si="2"/>
        <v>1838500</v>
      </c>
      <c r="J18" s="3"/>
      <c r="K18" s="3">
        <v>3087316</v>
      </c>
      <c r="L18" s="3"/>
      <c r="M18" s="7">
        <f t="shared" si="3"/>
        <v>515719</v>
      </c>
      <c r="N18" s="3"/>
      <c r="O18" s="3">
        <v>1663793</v>
      </c>
      <c r="P18" s="3"/>
      <c r="Q18" s="3">
        <v>2179512</v>
      </c>
      <c r="R18" s="3"/>
      <c r="S18" s="3">
        <f>31494+11180</f>
        <v>42674</v>
      </c>
      <c r="T18" s="3"/>
      <c r="U18" s="3">
        <f>22817+11000</f>
        <v>33817</v>
      </c>
      <c r="V18" s="3"/>
      <c r="W18" s="3">
        <v>0</v>
      </c>
      <c r="X18" s="3"/>
      <c r="Y18" s="3">
        <v>233103</v>
      </c>
      <c r="Z18" s="3"/>
      <c r="AA18" s="3">
        <v>598210</v>
      </c>
      <c r="AB18" s="3"/>
      <c r="AC18" s="20">
        <f t="shared" si="1"/>
        <v>907804</v>
      </c>
      <c r="AD18" s="13"/>
      <c r="AE18" s="3">
        <f t="shared" si="0"/>
        <v>0</v>
      </c>
    </row>
    <row r="19" spans="1:31">
      <c r="A19" s="3" t="s">
        <v>222</v>
      </c>
      <c r="B19" s="13"/>
      <c r="C19" s="13" t="s">
        <v>200</v>
      </c>
      <c r="E19" s="3">
        <v>13291199</v>
      </c>
      <c r="F19" s="3"/>
      <c r="G19" s="3">
        <v>0</v>
      </c>
      <c r="H19" s="3"/>
      <c r="I19" s="7">
        <f t="shared" si="2"/>
        <v>4656766</v>
      </c>
      <c r="J19" s="3"/>
      <c r="K19" s="3">
        <v>17947965</v>
      </c>
      <c r="L19" s="3"/>
      <c r="M19" s="7">
        <f t="shared" si="3"/>
        <v>1090615</v>
      </c>
      <c r="N19" s="3"/>
      <c r="O19" s="3">
        <f>3581972+287155</f>
        <v>3869127</v>
      </c>
      <c r="P19" s="3"/>
      <c r="Q19" s="3">
        <v>4959742</v>
      </c>
      <c r="R19" s="3"/>
      <c r="S19" s="3">
        <f>107885+9629+2043</f>
        <v>119557</v>
      </c>
      <c r="T19" s="3"/>
      <c r="U19" s="3">
        <v>0</v>
      </c>
      <c r="V19" s="3"/>
      <c r="W19" s="3">
        <v>0</v>
      </c>
      <c r="X19" s="3"/>
      <c r="Y19" s="3">
        <f>29572+36475+771374+89900+113577+1010956</f>
        <v>2051854</v>
      </c>
      <c r="Z19" s="3"/>
      <c r="AA19" s="3">
        <v>10816812</v>
      </c>
      <c r="AB19" s="3"/>
      <c r="AC19" s="20">
        <f t="shared" si="1"/>
        <v>12988223</v>
      </c>
      <c r="AD19" s="13"/>
      <c r="AE19" s="3">
        <f t="shared" si="0"/>
        <v>0</v>
      </c>
    </row>
    <row r="20" spans="1:31">
      <c r="A20" s="3" t="s">
        <v>366</v>
      </c>
      <c r="B20" s="13"/>
      <c r="C20" s="13" t="s">
        <v>149</v>
      </c>
      <c r="E20" s="3">
        <v>15018086</v>
      </c>
      <c r="F20" s="3"/>
      <c r="G20" s="3">
        <v>467953</v>
      </c>
      <c r="H20" s="3"/>
      <c r="I20" s="7">
        <f t="shared" si="2"/>
        <v>15952096</v>
      </c>
      <c r="J20" s="3"/>
      <c r="K20" s="3">
        <v>31438135</v>
      </c>
      <c r="L20" s="3"/>
      <c r="M20" s="7">
        <f t="shared" si="3"/>
        <v>3951744</v>
      </c>
      <c r="N20" s="3"/>
      <c r="O20" s="3">
        <v>15387697</v>
      </c>
      <c r="P20" s="3"/>
      <c r="Q20" s="3">
        <v>19339441</v>
      </c>
      <c r="R20" s="3"/>
      <c r="S20" s="3">
        <v>0</v>
      </c>
      <c r="T20" s="3"/>
      <c r="U20" s="3">
        <v>944511</v>
      </c>
      <c r="V20" s="3"/>
      <c r="W20" s="3">
        <v>0</v>
      </c>
      <c r="X20" s="3"/>
      <c r="Y20" s="3">
        <v>5522239</v>
      </c>
      <c r="Z20" s="3"/>
      <c r="AA20" s="3">
        <v>5631944</v>
      </c>
      <c r="AB20" s="3"/>
      <c r="AC20" s="20">
        <f t="shared" si="1"/>
        <v>12098694</v>
      </c>
      <c r="AD20" s="13"/>
      <c r="AE20" s="3">
        <f t="shared" si="0"/>
        <v>0</v>
      </c>
    </row>
    <row r="21" spans="1:31">
      <c r="A21" s="3" t="s">
        <v>278</v>
      </c>
      <c r="B21" s="13"/>
      <c r="C21" s="13" t="s">
        <v>175</v>
      </c>
      <c r="E21" s="3">
        <f>5494957+3497</f>
        <v>5498454</v>
      </c>
      <c r="F21" s="3"/>
      <c r="G21" s="3">
        <v>0</v>
      </c>
      <c r="H21" s="3"/>
      <c r="I21" s="7">
        <f>+K21-G21-E21</f>
        <v>7650509</v>
      </c>
      <c r="J21" s="3"/>
      <c r="K21" s="3">
        <v>13148963</v>
      </c>
      <c r="L21" s="3"/>
      <c r="M21" s="7">
        <f>+Q21-O21</f>
        <v>1013910</v>
      </c>
      <c r="N21" s="3"/>
      <c r="O21" s="3">
        <v>6684167</v>
      </c>
      <c r="P21" s="3"/>
      <c r="Q21" s="3">
        <v>7698077</v>
      </c>
      <c r="R21" s="3"/>
      <c r="S21" s="3">
        <v>66520</v>
      </c>
      <c r="T21" s="3"/>
      <c r="U21" s="3">
        <v>0</v>
      </c>
      <c r="V21" s="3"/>
      <c r="W21" s="3">
        <v>62232</v>
      </c>
      <c r="X21" s="3"/>
      <c r="Y21" s="3">
        <v>335730</v>
      </c>
      <c r="Z21" s="3"/>
      <c r="AA21" s="3">
        <v>4986404</v>
      </c>
      <c r="AB21" s="3"/>
      <c r="AC21" s="20">
        <f>SUM(S21:AA21)</f>
        <v>5450886</v>
      </c>
      <c r="AD21" s="13"/>
      <c r="AE21" s="3">
        <f>+E21+G21+I21-M21-O21-Y21-W21-S21-U21-AA21</f>
        <v>0</v>
      </c>
    </row>
    <row r="22" spans="1:31" hidden="1">
      <c r="A22" s="3" t="s">
        <v>276</v>
      </c>
      <c r="B22" s="13"/>
      <c r="C22" s="13" t="s">
        <v>216</v>
      </c>
      <c r="E22" s="3">
        <v>0</v>
      </c>
      <c r="F22" s="3"/>
      <c r="G22" s="3">
        <v>0</v>
      </c>
      <c r="H22" s="3"/>
      <c r="I22" s="7">
        <f t="shared" si="2"/>
        <v>0</v>
      </c>
      <c r="J22" s="3"/>
      <c r="K22" s="3">
        <v>0</v>
      </c>
      <c r="L22" s="3"/>
      <c r="M22" s="7">
        <f t="shared" si="3"/>
        <v>0</v>
      </c>
      <c r="N22" s="3"/>
      <c r="O22" s="3">
        <v>0</v>
      </c>
      <c r="P22" s="3"/>
      <c r="Q22" s="3">
        <v>0</v>
      </c>
      <c r="R22" s="3"/>
      <c r="S22" s="3">
        <v>0</v>
      </c>
      <c r="T22" s="3"/>
      <c r="U22" s="3">
        <v>0</v>
      </c>
      <c r="V22" s="3"/>
      <c r="W22" s="3">
        <v>0</v>
      </c>
      <c r="X22" s="3"/>
      <c r="Y22" s="3">
        <v>0</v>
      </c>
      <c r="Z22" s="3"/>
      <c r="AA22" s="3">
        <v>0</v>
      </c>
      <c r="AB22" s="3"/>
      <c r="AC22" s="20">
        <f t="shared" si="1"/>
        <v>0</v>
      </c>
      <c r="AD22" s="13"/>
      <c r="AE22" s="3">
        <f t="shared" si="0"/>
        <v>0</v>
      </c>
    </row>
    <row r="23" spans="1:31">
      <c r="A23" s="3" t="s">
        <v>365</v>
      </c>
      <c r="B23" s="13"/>
      <c r="C23" s="13" t="s">
        <v>158</v>
      </c>
      <c r="E23" s="3">
        <v>3484445</v>
      </c>
      <c r="F23" s="3"/>
      <c r="G23" s="3">
        <v>0</v>
      </c>
      <c r="H23" s="3"/>
      <c r="I23" s="7">
        <f t="shared" si="2"/>
        <v>2037856</v>
      </c>
      <c r="J23" s="3"/>
      <c r="K23" s="3">
        <v>5522301</v>
      </c>
      <c r="L23" s="3"/>
      <c r="M23" s="7">
        <f t="shared" si="3"/>
        <v>340973</v>
      </c>
      <c r="N23" s="3"/>
      <c r="O23" s="3">
        <f>190506+1709158</f>
        <v>1899664</v>
      </c>
      <c r="P23" s="3"/>
      <c r="Q23" s="3">
        <v>2240637</v>
      </c>
      <c r="R23" s="3"/>
      <c r="S23" s="3">
        <v>0</v>
      </c>
      <c r="T23" s="3"/>
      <c r="U23" s="3">
        <v>0</v>
      </c>
      <c r="V23" s="3"/>
      <c r="W23" s="3">
        <v>0</v>
      </c>
      <c r="X23" s="3"/>
      <c r="Y23" s="3">
        <f>54911+44558+29589+259651+40466</f>
        <v>429175</v>
      </c>
      <c r="Z23" s="3"/>
      <c r="AA23" s="3">
        <v>2852489</v>
      </c>
      <c r="AB23" s="3"/>
      <c r="AC23" s="20">
        <f t="shared" si="1"/>
        <v>3281664</v>
      </c>
      <c r="AD23" s="13"/>
      <c r="AE23" s="3">
        <f t="shared" si="0"/>
        <v>0</v>
      </c>
    </row>
    <row r="24" spans="1:31">
      <c r="A24" s="3" t="s">
        <v>245</v>
      </c>
      <c r="B24" s="13"/>
      <c r="C24" s="13" t="s">
        <v>209</v>
      </c>
      <c r="E24" s="3">
        <v>1081283</v>
      </c>
      <c r="F24" s="3"/>
      <c r="G24" s="3">
        <v>0</v>
      </c>
      <c r="H24" s="3"/>
      <c r="I24" s="7">
        <f t="shared" si="2"/>
        <v>1348629</v>
      </c>
      <c r="J24" s="3"/>
      <c r="K24" s="3">
        <v>2429912</v>
      </c>
      <c r="L24" s="3"/>
      <c r="M24" s="7">
        <f t="shared" si="3"/>
        <v>412669</v>
      </c>
      <c r="N24" s="3"/>
      <c r="O24" s="3">
        <v>1218170</v>
      </c>
      <c r="P24" s="3"/>
      <c r="Q24" s="3">
        <v>1630839</v>
      </c>
      <c r="R24" s="3"/>
      <c r="S24" s="3">
        <v>9477</v>
      </c>
      <c r="T24" s="3"/>
      <c r="U24" s="3">
        <v>0</v>
      </c>
      <c r="V24" s="3"/>
      <c r="W24" s="3">
        <v>0</v>
      </c>
      <c r="X24" s="3"/>
      <c r="Y24" s="3">
        <v>470980</v>
      </c>
      <c r="Z24" s="3"/>
      <c r="AA24" s="3">
        <v>318616</v>
      </c>
      <c r="AB24" s="3"/>
      <c r="AC24" s="20">
        <f t="shared" si="1"/>
        <v>799073</v>
      </c>
      <c r="AD24" s="13"/>
      <c r="AE24" s="3">
        <f t="shared" si="0"/>
        <v>0</v>
      </c>
    </row>
    <row r="25" spans="1:31">
      <c r="A25" s="3" t="s">
        <v>243</v>
      </c>
      <c r="B25" s="13"/>
      <c r="C25" s="13" t="s">
        <v>159</v>
      </c>
      <c r="E25" s="3">
        <f>6530000+6445116</f>
        <v>12975116</v>
      </c>
      <c r="F25" s="3"/>
      <c r="G25" s="3">
        <v>0</v>
      </c>
      <c r="H25" s="3"/>
      <c r="I25" s="7">
        <f t="shared" si="2"/>
        <v>10725828</v>
      </c>
      <c r="J25" s="3"/>
      <c r="K25" s="3">
        <v>23700944</v>
      </c>
      <c r="L25" s="3"/>
      <c r="M25" s="7">
        <f t="shared" si="3"/>
        <v>1458736</v>
      </c>
      <c r="N25" s="3"/>
      <c r="O25" s="3">
        <f>858067+8411765</f>
        <v>9269832</v>
      </c>
      <c r="P25" s="3"/>
      <c r="Q25" s="3">
        <v>10728568</v>
      </c>
      <c r="R25" s="3"/>
      <c r="S25" s="3">
        <f>9688+15682</f>
        <v>25370</v>
      </c>
      <c r="T25" s="3"/>
      <c r="U25" s="3">
        <v>4024</v>
      </c>
      <c r="V25" s="3"/>
      <c r="W25" s="3">
        <v>33000</v>
      </c>
      <c r="X25" s="3"/>
      <c r="Y25" s="3">
        <f>88573+699216+181588+19945+1341362+121398</f>
        <v>2452082</v>
      </c>
      <c r="Z25" s="3"/>
      <c r="AA25" s="3">
        <v>10457900</v>
      </c>
      <c r="AB25" s="3"/>
      <c r="AC25" s="20">
        <f t="shared" si="1"/>
        <v>12972376</v>
      </c>
      <c r="AD25" s="13"/>
      <c r="AE25" s="3">
        <f t="shared" si="0"/>
        <v>0</v>
      </c>
    </row>
    <row r="26" spans="1:31">
      <c r="A26" s="3" t="s">
        <v>242</v>
      </c>
      <c r="B26" s="13"/>
      <c r="C26" s="13" t="s">
        <v>161</v>
      </c>
      <c r="E26" s="3">
        <v>19983196</v>
      </c>
      <c r="F26" s="3"/>
      <c r="G26" s="3">
        <v>0</v>
      </c>
      <c r="H26" s="3"/>
      <c r="I26" s="7">
        <f t="shared" si="2"/>
        <v>9914388</v>
      </c>
      <c r="J26" s="3"/>
      <c r="K26" s="3">
        <v>29897584</v>
      </c>
      <c r="L26" s="3"/>
      <c r="M26" s="7">
        <f t="shared" si="3"/>
        <v>942562</v>
      </c>
      <c r="N26" s="3"/>
      <c r="O26" s="3">
        <f>356684+7867766</f>
        <v>8224450</v>
      </c>
      <c r="P26" s="3"/>
      <c r="Q26" s="3">
        <v>9167012</v>
      </c>
      <c r="R26" s="3"/>
      <c r="S26" s="3">
        <f>47571+24456</f>
        <v>72027</v>
      </c>
      <c r="T26" s="3"/>
      <c r="U26" s="3">
        <v>0</v>
      </c>
      <c r="V26" s="3"/>
      <c r="W26" s="3">
        <f>717+123</f>
        <v>840</v>
      </c>
      <c r="X26" s="3"/>
      <c r="Y26" s="3">
        <f>43226+127104+53629+11113+109673</f>
        <v>344745</v>
      </c>
      <c r="Z26" s="3"/>
      <c r="AA26" s="3">
        <v>20312960</v>
      </c>
      <c r="AB26" s="3"/>
      <c r="AC26" s="20">
        <f t="shared" si="1"/>
        <v>20730572</v>
      </c>
      <c r="AD26" s="13"/>
      <c r="AE26" s="3">
        <f t="shared" si="0"/>
        <v>0</v>
      </c>
    </row>
    <row r="27" spans="1:31">
      <c r="A27" s="3" t="s">
        <v>367</v>
      </c>
      <c r="B27" s="13"/>
      <c r="C27" s="13" t="s">
        <v>164</v>
      </c>
      <c r="E27" s="3">
        <v>15498222</v>
      </c>
      <c r="F27" s="3"/>
      <c r="G27" s="3">
        <v>18348</v>
      </c>
      <c r="H27" s="3"/>
      <c r="I27" s="7">
        <f t="shared" si="2"/>
        <v>13949991</v>
      </c>
      <c r="J27" s="3"/>
      <c r="K27" s="3">
        <v>29466561</v>
      </c>
      <c r="L27" s="3"/>
      <c r="M27" s="7">
        <f t="shared" si="3"/>
        <v>1952667</v>
      </c>
      <c r="N27" s="3"/>
      <c r="O27" s="3">
        <v>10365984</v>
      </c>
      <c r="P27" s="3"/>
      <c r="Q27" s="3">
        <v>12318651</v>
      </c>
      <c r="R27" s="3"/>
      <c r="S27" s="3">
        <v>0</v>
      </c>
      <c r="T27" s="3"/>
      <c r="U27" s="3">
        <v>0</v>
      </c>
      <c r="V27" s="3"/>
      <c r="W27" s="3">
        <v>0</v>
      </c>
      <c r="X27" s="3"/>
      <c r="Y27" s="3">
        <v>773228</v>
      </c>
      <c r="Z27" s="3"/>
      <c r="AA27" s="3">
        <v>16374682</v>
      </c>
      <c r="AB27" s="3"/>
      <c r="AC27" s="20">
        <f t="shared" si="1"/>
        <v>17147910</v>
      </c>
      <c r="AD27" s="13"/>
      <c r="AE27" s="3">
        <f t="shared" si="0"/>
        <v>0</v>
      </c>
    </row>
    <row r="28" spans="1:31">
      <c r="A28" s="3" t="s">
        <v>244</v>
      </c>
      <c r="B28" s="13"/>
      <c r="C28" s="13" t="s">
        <v>162</v>
      </c>
      <c r="E28" s="3">
        <v>4856720</v>
      </c>
      <c r="F28" s="3"/>
      <c r="G28" s="3">
        <v>0</v>
      </c>
      <c r="H28" s="3"/>
      <c r="I28" s="7">
        <f t="shared" si="2"/>
        <v>8054104</v>
      </c>
      <c r="J28" s="3"/>
      <c r="K28" s="3">
        <v>12910824</v>
      </c>
      <c r="L28" s="3"/>
      <c r="M28" s="7">
        <f t="shared" si="3"/>
        <v>1093276</v>
      </c>
      <c r="N28" s="3"/>
      <c r="O28" s="3">
        <f>460848+6327545</f>
        <v>6788393</v>
      </c>
      <c r="P28" s="3"/>
      <c r="Q28" s="3">
        <v>7881669</v>
      </c>
      <c r="R28" s="3"/>
      <c r="S28" s="3">
        <f>8634+19305+3545</f>
        <v>31484</v>
      </c>
      <c r="T28" s="3"/>
      <c r="U28" s="3">
        <v>0</v>
      </c>
      <c r="V28" s="3"/>
      <c r="W28" s="3">
        <v>0</v>
      </c>
      <c r="X28" s="3"/>
      <c r="Y28" s="3">
        <f>44356+42253+28373+2617+77761</f>
        <v>195360</v>
      </c>
      <c r="Z28" s="3"/>
      <c r="AA28" s="3">
        <v>4802311</v>
      </c>
      <c r="AB28" s="3"/>
      <c r="AC28" s="20">
        <f t="shared" si="1"/>
        <v>5029155</v>
      </c>
      <c r="AD28" s="13"/>
      <c r="AE28" s="3">
        <f t="shared" si="0"/>
        <v>0</v>
      </c>
    </row>
    <row r="29" spans="1:31">
      <c r="A29" s="3" t="s">
        <v>246</v>
      </c>
      <c r="B29" s="13"/>
      <c r="C29" s="13" t="s">
        <v>211</v>
      </c>
      <c r="E29" s="3">
        <f>4331370+2240974</f>
        <v>6572344</v>
      </c>
      <c r="F29" s="3"/>
      <c r="G29" s="3">
        <v>725000</v>
      </c>
      <c r="H29" s="3"/>
      <c r="I29" s="7">
        <f t="shared" si="2"/>
        <v>5892197</v>
      </c>
      <c r="J29" s="3"/>
      <c r="K29" s="3">
        <v>13189541</v>
      </c>
      <c r="L29" s="3"/>
      <c r="M29" s="7">
        <f t="shared" si="3"/>
        <v>1937553</v>
      </c>
      <c r="N29" s="3"/>
      <c r="O29" s="3">
        <v>5159186</v>
      </c>
      <c r="P29" s="3"/>
      <c r="Q29" s="3">
        <v>7096739</v>
      </c>
      <c r="R29" s="3"/>
      <c r="S29" s="3">
        <v>217079</v>
      </c>
      <c r="T29" s="3"/>
      <c r="U29" s="3">
        <v>0</v>
      </c>
      <c r="V29" s="3"/>
      <c r="W29" s="3">
        <v>0</v>
      </c>
      <c r="X29" s="3"/>
      <c r="Y29" s="3">
        <v>82207</v>
      </c>
      <c r="Z29" s="3"/>
      <c r="AA29" s="3">
        <v>5793516</v>
      </c>
      <c r="AB29" s="3"/>
      <c r="AC29" s="20">
        <f t="shared" si="1"/>
        <v>6092802</v>
      </c>
      <c r="AD29" s="13"/>
      <c r="AE29" s="3">
        <f t="shared" si="0"/>
        <v>0</v>
      </c>
    </row>
    <row r="30" spans="1:31">
      <c r="A30" s="3" t="s">
        <v>210</v>
      </c>
      <c r="B30" s="13"/>
      <c r="C30" s="13" t="s">
        <v>167</v>
      </c>
      <c r="E30" s="3">
        <v>1920631</v>
      </c>
      <c r="F30" s="3"/>
      <c r="G30" s="3">
        <v>32757</v>
      </c>
      <c r="H30" s="3"/>
      <c r="I30" s="7">
        <f t="shared" si="2"/>
        <v>2875707</v>
      </c>
      <c r="J30" s="3"/>
      <c r="K30" s="3">
        <v>4829095</v>
      </c>
      <c r="L30" s="3"/>
      <c r="M30" s="7">
        <f t="shared" si="3"/>
        <v>731740</v>
      </c>
      <c r="N30" s="3"/>
      <c r="O30" s="3">
        <v>2643158</v>
      </c>
      <c r="P30" s="3"/>
      <c r="Q30" s="3">
        <v>3374898</v>
      </c>
      <c r="R30" s="3"/>
      <c r="S30" s="3">
        <v>31987</v>
      </c>
      <c r="T30" s="3"/>
      <c r="U30" s="3">
        <v>32757</v>
      </c>
      <c r="V30" s="3"/>
      <c r="W30" s="3">
        <v>439</v>
      </c>
      <c r="X30" s="3"/>
      <c r="Y30" s="3">
        <v>148181</v>
      </c>
      <c r="Z30" s="3"/>
      <c r="AA30" s="3">
        <v>1240833</v>
      </c>
      <c r="AB30" s="3"/>
      <c r="AC30" s="20">
        <f t="shared" si="1"/>
        <v>1454197</v>
      </c>
      <c r="AD30" s="13"/>
      <c r="AE30" s="3">
        <f t="shared" si="0"/>
        <v>0</v>
      </c>
    </row>
    <row r="31" spans="1:31">
      <c r="A31" s="3" t="s">
        <v>368</v>
      </c>
      <c r="B31" s="13"/>
      <c r="C31" s="13" t="s">
        <v>170</v>
      </c>
      <c r="E31" s="3">
        <v>27842573</v>
      </c>
      <c r="F31" s="3"/>
      <c r="G31" s="3">
        <v>0</v>
      </c>
      <c r="H31" s="3"/>
      <c r="I31" s="7">
        <f>+K31-G31-E31</f>
        <v>38369739</v>
      </c>
      <c r="J31" s="3"/>
      <c r="K31" s="3">
        <v>66212312</v>
      </c>
      <c r="L31" s="3"/>
      <c r="M31" s="7">
        <f>+Q31-O31</f>
        <v>3186092</v>
      </c>
      <c r="N31" s="3"/>
      <c r="O31" s="3">
        <v>26789774</v>
      </c>
      <c r="P31" s="3"/>
      <c r="Q31" s="3">
        <v>29975866</v>
      </c>
      <c r="R31" s="3"/>
      <c r="S31" s="3">
        <v>0</v>
      </c>
      <c r="T31" s="3"/>
      <c r="U31" s="3">
        <v>0</v>
      </c>
      <c r="V31" s="3"/>
      <c r="W31" s="3">
        <v>0</v>
      </c>
      <c r="X31" s="3"/>
      <c r="Y31" s="3">
        <v>456782</v>
      </c>
      <c r="Z31" s="3"/>
      <c r="AA31" s="3">
        <v>35779664</v>
      </c>
      <c r="AB31" s="3"/>
      <c r="AC31" s="20">
        <f t="shared" si="1"/>
        <v>36236446</v>
      </c>
      <c r="AD31" s="13"/>
      <c r="AE31" s="3">
        <f t="shared" si="0"/>
        <v>0</v>
      </c>
    </row>
    <row r="32" spans="1:31">
      <c r="A32" s="3" t="s">
        <v>321</v>
      </c>
      <c r="B32" s="13"/>
      <c r="C32" s="13" t="s">
        <v>169</v>
      </c>
      <c r="E32" s="3">
        <v>4662782</v>
      </c>
      <c r="F32" s="3"/>
      <c r="G32" s="3">
        <v>0</v>
      </c>
      <c r="H32" s="3"/>
      <c r="I32" s="7">
        <f t="shared" si="2"/>
        <v>7228516</v>
      </c>
      <c r="J32" s="3"/>
      <c r="K32" s="3">
        <v>11891298</v>
      </c>
      <c r="L32" s="3"/>
      <c r="M32" s="7">
        <f t="shared" si="3"/>
        <v>1255509</v>
      </c>
      <c r="N32" s="3"/>
      <c r="O32" s="3">
        <v>6488510</v>
      </c>
      <c r="P32" s="3"/>
      <c r="Q32" s="3">
        <v>7744019</v>
      </c>
      <c r="R32" s="3"/>
      <c r="S32" s="3">
        <v>64309</v>
      </c>
      <c r="T32" s="3"/>
      <c r="U32" s="3">
        <v>0</v>
      </c>
      <c r="V32" s="3"/>
      <c r="W32" s="3">
        <v>41667</v>
      </c>
      <c r="X32" s="3"/>
      <c r="Y32" s="3">
        <v>18252</v>
      </c>
      <c r="Z32" s="3"/>
      <c r="AA32" s="3">
        <v>4023051</v>
      </c>
      <c r="AB32" s="3"/>
      <c r="AC32" s="20">
        <f t="shared" si="1"/>
        <v>4147279</v>
      </c>
      <c r="AD32" s="13"/>
      <c r="AE32" s="3">
        <f t="shared" si="0"/>
        <v>0</v>
      </c>
    </row>
    <row r="33" spans="1:31">
      <c r="A33" s="3" t="s">
        <v>212</v>
      </c>
      <c r="B33" s="13"/>
      <c r="C33" s="13" t="s">
        <v>172</v>
      </c>
      <c r="E33" s="3">
        <v>564722</v>
      </c>
      <c r="F33" s="3"/>
      <c r="G33" s="3">
        <v>17604</v>
      </c>
      <c r="H33" s="3"/>
      <c r="I33" s="7">
        <f t="shared" si="2"/>
        <v>1684803</v>
      </c>
      <c r="J33" s="3"/>
      <c r="K33" s="3">
        <v>2267129</v>
      </c>
      <c r="L33" s="3"/>
      <c r="M33" s="7">
        <f t="shared" si="3"/>
        <v>430702</v>
      </c>
      <c r="N33" s="3"/>
      <c r="O33" s="3">
        <v>1470449</v>
      </c>
      <c r="P33" s="3"/>
      <c r="Q33" s="3">
        <v>1901151</v>
      </c>
      <c r="R33" s="3"/>
      <c r="S33" s="3">
        <v>118771</v>
      </c>
      <c r="T33" s="3"/>
      <c r="U33" s="3">
        <v>17604</v>
      </c>
      <c r="V33" s="3"/>
      <c r="W33" s="3">
        <v>229603</v>
      </c>
      <c r="X33" s="3"/>
      <c r="Y33" s="3">
        <v>0</v>
      </c>
      <c r="Z33" s="3"/>
      <c r="AA33" s="3">
        <v>0</v>
      </c>
      <c r="AB33" s="3"/>
      <c r="AC33" s="20">
        <f t="shared" si="1"/>
        <v>365978</v>
      </c>
      <c r="AD33" s="13"/>
      <c r="AE33" s="3">
        <f t="shared" si="0"/>
        <v>0</v>
      </c>
    </row>
    <row r="34" spans="1:31">
      <c r="A34" s="3" t="s">
        <v>247</v>
      </c>
      <c r="B34" s="13"/>
      <c r="C34" s="13" t="s">
        <v>173</v>
      </c>
      <c r="E34" s="3">
        <v>10868941</v>
      </c>
      <c r="F34" s="3"/>
      <c r="G34" s="3">
        <v>0</v>
      </c>
      <c r="H34" s="3"/>
      <c r="I34" s="7">
        <f t="shared" si="2"/>
        <v>3371028</v>
      </c>
      <c r="J34" s="3"/>
      <c r="K34" s="3">
        <v>14239969</v>
      </c>
      <c r="L34" s="3"/>
      <c r="M34" s="7">
        <f t="shared" si="3"/>
        <v>795750</v>
      </c>
      <c r="N34" s="3"/>
      <c r="O34" s="3">
        <v>2039111</v>
      </c>
      <c r="P34" s="3"/>
      <c r="Q34" s="3">
        <v>2834861</v>
      </c>
      <c r="R34" s="3"/>
      <c r="S34" s="3">
        <v>26069</v>
      </c>
      <c r="T34" s="3"/>
      <c r="U34" s="3">
        <v>0</v>
      </c>
      <c r="V34" s="3"/>
      <c r="W34" s="3">
        <v>0</v>
      </c>
      <c r="X34" s="3"/>
      <c r="Y34" s="3">
        <v>225993</v>
      </c>
      <c r="Z34" s="3"/>
      <c r="AA34" s="3">
        <v>11153046</v>
      </c>
      <c r="AB34" s="3"/>
      <c r="AC34" s="20">
        <f t="shared" si="1"/>
        <v>11405108</v>
      </c>
      <c r="AD34" s="13"/>
      <c r="AE34" s="3">
        <f t="shared" si="0"/>
        <v>0</v>
      </c>
    </row>
    <row r="35" spans="1:31">
      <c r="A35" s="3" t="s">
        <v>213</v>
      </c>
      <c r="B35" s="13"/>
      <c r="C35" s="13" t="s">
        <v>174</v>
      </c>
      <c r="E35" s="3">
        <v>2325923</v>
      </c>
      <c r="F35" s="3"/>
      <c r="G35" s="3">
        <v>98887</v>
      </c>
      <c r="H35" s="3"/>
      <c r="I35" s="7">
        <f t="shared" si="2"/>
        <v>1766487</v>
      </c>
      <c r="J35" s="3"/>
      <c r="K35" s="3">
        <v>4191297</v>
      </c>
      <c r="L35" s="3"/>
      <c r="M35" s="7">
        <f t="shared" si="3"/>
        <v>491039</v>
      </c>
      <c r="N35" s="3"/>
      <c r="O35" s="3">
        <v>1419252</v>
      </c>
      <c r="P35" s="3"/>
      <c r="Q35" s="3">
        <v>1910291</v>
      </c>
      <c r="R35" s="3"/>
      <c r="S35" s="3">
        <v>0</v>
      </c>
      <c r="T35" s="3"/>
      <c r="U35" s="3">
        <v>98887</v>
      </c>
      <c r="V35" s="3"/>
      <c r="W35" s="3">
        <v>86428</v>
      </c>
      <c r="X35" s="3"/>
      <c r="Y35" s="3">
        <v>37498</v>
      </c>
      <c r="Z35" s="3"/>
      <c r="AA35" s="3">
        <v>2058193</v>
      </c>
      <c r="AB35" s="3"/>
      <c r="AC35" s="20">
        <f t="shared" si="1"/>
        <v>2281006</v>
      </c>
      <c r="AD35" s="13"/>
      <c r="AE35" s="3">
        <f t="shared" si="0"/>
        <v>0</v>
      </c>
    </row>
    <row r="36" spans="1:31" hidden="1">
      <c r="A36" s="3" t="s">
        <v>289</v>
      </c>
      <c r="B36" s="13"/>
      <c r="C36" s="13" t="s">
        <v>175</v>
      </c>
      <c r="E36" s="3">
        <v>0</v>
      </c>
      <c r="F36" s="3"/>
      <c r="G36" s="3">
        <v>0</v>
      </c>
      <c r="H36" s="3"/>
      <c r="I36" s="7">
        <f t="shared" si="2"/>
        <v>0</v>
      </c>
      <c r="J36" s="3"/>
      <c r="K36" s="3">
        <v>0</v>
      </c>
      <c r="L36" s="3"/>
      <c r="M36" s="7">
        <f t="shared" si="3"/>
        <v>0</v>
      </c>
      <c r="N36" s="3"/>
      <c r="O36" s="3">
        <v>0</v>
      </c>
      <c r="P36" s="3"/>
      <c r="Q36" s="3">
        <v>0</v>
      </c>
      <c r="R36" s="3"/>
      <c r="S36" s="3">
        <v>0</v>
      </c>
      <c r="T36" s="3"/>
      <c r="U36" s="3">
        <v>0</v>
      </c>
      <c r="V36" s="3"/>
      <c r="W36" s="3">
        <v>0</v>
      </c>
      <c r="X36" s="3"/>
      <c r="Y36" s="3">
        <v>0</v>
      </c>
      <c r="Z36" s="3"/>
      <c r="AA36" s="3">
        <v>0</v>
      </c>
      <c r="AB36" s="3"/>
      <c r="AC36" s="20">
        <f t="shared" si="1"/>
        <v>0</v>
      </c>
      <c r="AD36" s="13"/>
      <c r="AE36" s="3">
        <f t="shared" si="0"/>
        <v>0</v>
      </c>
    </row>
    <row r="37" spans="1:31">
      <c r="A37" s="3" t="s">
        <v>215</v>
      </c>
      <c r="B37" s="13"/>
      <c r="C37" s="13" t="s">
        <v>144</v>
      </c>
      <c r="E37" s="3">
        <v>5322338</v>
      </c>
      <c r="F37" s="3"/>
      <c r="G37" s="3">
        <v>0</v>
      </c>
      <c r="H37" s="3"/>
      <c r="I37" s="7">
        <f t="shared" si="2"/>
        <v>10475801</v>
      </c>
      <c r="J37" s="3"/>
      <c r="K37" s="3">
        <v>15798139</v>
      </c>
      <c r="L37" s="3"/>
      <c r="M37" s="7">
        <f t="shared" si="3"/>
        <v>2598323</v>
      </c>
      <c r="N37" s="3"/>
      <c r="O37" s="3">
        <v>9059130</v>
      </c>
      <c r="P37" s="3"/>
      <c r="Q37" s="3">
        <v>11657453</v>
      </c>
      <c r="R37" s="3"/>
      <c r="S37" s="3">
        <v>21368</v>
      </c>
      <c r="T37" s="3"/>
      <c r="U37" s="3">
        <v>97260</v>
      </c>
      <c r="V37" s="3"/>
      <c r="W37" s="3">
        <v>0</v>
      </c>
      <c r="X37" s="3"/>
      <c r="Y37" s="3">
        <v>1095975</v>
      </c>
      <c r="Z37" s="3"/>
      <c r="AA37" s="3">
        <v>2926083</v>
      </c>
      <c r="AB37" s="3"/>
      <c r="AC37" s="20">
        <f t="shared" si="1"/>
        <v>4140686</v>
      </c>
      <c r="AD37" s="13"/>
      <c r="AE37" s="3">
        <f t="shared" si="0"/>
        <v>0</v>
      </c>
    </row>
    <row r="38" spans="1:31">
      <c r="A38" s="3" t="s">
        <v>369</v>
      </c>
      <c r="B38" s="13"/>
      <c r="C38" s="13" t="s">
        <v>178</v>
      </c>
      <c r="E38" s="3">
        <v>7724548</v>
      </c>
      <c r="F38" s="3"/>
      <c r="G38" s="3">
        <v>0</v>
      </c>
      <c r="H38" s="3"/>
      <c r="I38" s="7">
        <f t="shared" si="2"/>
        <v>21428060</v>
      </c>
      <c r="J38" s="3"/>
      <c r="K38" s="3">
        <v>29152608</v>
      </c>
      <c r="L38" s="3"/>
      <c r="M38" s="7">
        <f t="shared" si="3"/>
        <v>863459</v>
      </c>
      <c r="N38" s="3"/>
      <c r="O38" s="3">
        <v>6957300</v>
      </c>
      <c r="P38" s="3"/>
      <c r="Q38" s="3">
        <v>7820759</v>
      </c>
      <c r="R38" s="3"/>
      <c r="S38" s="3">
        <v>44820</v>
      </c>
      <c r="T38" s="3"/>
      <c r="U38" s="3">
        <v>0</v>
      </c>
      <c r="V38" s="3"/>
      <c r="W38" s="3">
        <v>0</v>
      </c>
      <c r="X38" s="3"/>
      <c r="Y38" s="3">
        <v>14527784</v>
      </c>
      <c r="Z38" s="3"/>
      <c r="AA38" s="3">
        <v>6759245</v>
      </c>
      <c r="AB38" s="3"/>
      <c r="AC38" s="20">
        <f t="shared" si="1"/>
        <v>21331849</v>
      </c>
      <c r="AD38" s="13"/>
      <c r="AE38" s="3">
        <f t="shared" si="0"/>
        <v>0</v>
      </c>
    </row>
    <row r="39" spans="1:31">
      <c r="A39" s="3" t="s">
        <v>248</v>
      </c>
      <c r="B39" s="13"/>
      <c r="C39" s="13" t="s">
        <v>188</v>
      </c>
      <c r="E39" s="3">
        <v>20371551</v>
      </c>
      <c r="F39" s="3"/>
      <c r="G39" s="3">
        <v>223362</v>
      </c>
      <c r="H39" s="3"/>
      <c r="I39" s="7">
        <f t="shared" si="2"/>
        <v>7215068</v>
      </c>
      <c r="J39" s="3"/>
      <c r="K39" s="3">
        <v>27809981</v>
      </c>
      <c r="L39" s="3"/>
      <c r="M39" s="7">
        <f t="shared" si="3"/>
        <v>903919</v>
      </c>
      <c r="N39" s="3"/>
      <c r="O39" s="3">
        <v>6199541</v>
      </c>
      <c r="P39" s="3"/>
      <c r="Q39" s="3">
        <v>7103460</v>
      </c>
      <c r="R39" s="3"/>
      <c r="S39" s="3">
        <v>56988</v>
      </c>
      <c r="T39" s="3"/>
      <c r="U39" s="3">
        <v>12592</v>
      </c>
      <c r="V39" s="3"/>
      <c r="W39" s="3">
        <v>696356</v>
      </c>
      <c r="X39" s="3"/>
      <c r="Y39" s="3">
        <v>825576</v>
      </c>
      <c r="Z39" s="3"/>
      <c r="AA39" s="3">
        <v>19115009</v>
      </c>
      <c r="AB39" s="3"/>
      <c r="AC39" s="20">
        <f t="shared" si="1"/>
        <v>20706521</v>
      </c>
      <c r="AD39" s="13"/>
      <c r="AE39" s="3">
        <f t="shared" si="0"/>
        <v>0</v>
      </c>
    </row>
    <row r="40" spans="1:31">
      <c r="A40" s="3" t="s">
        <v>219</v>
      </c>
      <c r="B40" s="13"/>
      <c r="C40" s="13" t="s">
        <v>180</v>
      </c>
      <c r="E40" s="3">
        <v>9315839</v>
      </c>
      <c r="F40" s="3"/>
      <c r="G40" s="3">
        <v>0</v>
      </c>
      <c r="H40" s="3"/>
      <c r="I40" s="7">
        <f t="shared" si="2"/>
        <v>8002107</v>
      </c>
      <c r="J40" s="3"/>
      <c r="K40" s="3">
        <v>17317946</v>
      </c>
      <c r="L40" s="3"/>
      <c r="M40" s="7">
        <f t="shared" si="3"/>
        <v>1747464</v>
      </c>
      <c r="N40" s="3"/>
      <c r="O40" s="3">
        <v>6998197</v>
      </c>
      <c r="P40" s="3"/>
      <c r="Q40" s="3">
        <v>8745661</v>
      </c>
      <c r="R40" s="3"/>
      <c r="S40" s="3">
        <v>136972</v>
      </c>
      <c r="T40" s="3"/>
      <c r="U40" s="3">
        <v>0</v>
      </c>
      <c r="V40" s="3"/>
      <c r="W40" s="3">
        <v>698643</v>
      </c>
      <c r="X40" s="3"/>
      <c r="Y40" s="3">
        <v>1223921</v>
      </c>
      <c r="Z40" s="3"/>
      <c r="AA40" s="3">
        <v>6512749</v>
      </c>
      <c r="AB40" s="3"/>
      <c r="AC40" s="20">
        <f t="shared" si="1"/>
        <v>8572285</v>
      </c>
      <c r="AD40" s="13"/>
      <c r="AE40" s="3">
        <f t="shared" si="0"/>
        <v>0</v>
      </c>
    </row>
    <row r="41" spans="1:31">
      <c r="A41" s="3" t="s">
        <v>370</v>
      </c>
      <c r="B41" s="13"/>
      <c r="C41" s="13" t="s">
        <v>183</v>
      </c>
      <c r="E41" s="3">
        <v>4810600</v>
      </c>
      <c r="F41" s="3"/>
      <c r="G41" s="3">
        <v>0</v>
      </c>
      <c r="H41" s="3"/>
      <c r="I41" s="7">
        <f t="shared" si="2"/>
        <v>14120783</v>
      </c>
      <c r="J41" s="3"/>
      <c r="K41" s="3">
        <v>18931383</v>
      </c>
      <c r="L41" s="3"/>
      <c r="M41" s="7">
        <f t="shared" si="3"/>
        <v>3129877</v>
      </c>
      <c r="N41" s="3"/>
      <c r="O41" s="3">
        <v>12727703</v>
      </c>
      <c r="P41" s="3"/>
      <c r="Q41" s="3">
        <v>15857580</v>
      </c>
      <c r="R41" s="3"/>
      <c r="S41" s="3">
        <v>0</v>
      </c>
      <c r="T41" s="3"/>
      <c r="U41" s="3">
        <v>0</v>
      </c>
      <c r="V41" s="3"/>
      <c r="W41" s="3">
        <v>0</v>
      </c>
      <c r="X41" s="3"/>
      <c r="Y41" s="3">
        <v>361694</v>
      </c>
      <c r="Z41" s="3"/>
      <c r="AA41" s="3">
        <v>2712109</v>
      </c>
      <c r="AB41" s="3"/>
      <c r="AC41" s="20">
        <f t="shared" si="1"/>
        <v>3073803</v>
      </c>
      <c r="AD41" s="13"/>
      <c r="AE41" s="3">
        <f t="shared" si="0"/>
        <v>0</v>
      </c>
    </row>
    <row r="42" spans="1:31">
      <c r="A42" s="3" t="s">
        <v>371</v>
      </c>
      <c r="B42" s="13"/>
      <c r="C42" s="13" t="s">
        <v>185</v>
      </c>
      <c r="E42" s="3">
        <v>12925504</v>
      </c>
      <c r="F42" s="3"/>
      <c r="G42" s="3">
        <v>52818</v>
      </c>
      <c r="H42" s="3"/>
      <c r="I42" s="7">
        <f t="shared" si="2"/>
        <v>8422242</v>
      </c>
      <c r="J42" s="3"/>
      <c r="K42" s="3">
        <v>21400564</v>
      </c>
      <c r="L42" s="3"/>
      <c r="M42" s="7">
        <f t="shared" si="3"/>
        <v>1206363</v>
      </c>
      <c r="N42" s="3"/>
      <c r="O42" s="3">
        <v>7483969</v>
      </c>
      <c r="P42" s="3"/>
      <c r="Q42" s="3">
        <v>8690332</v>
      </c>
      <c r="R42" s="3"/>
      <c r="S42" s="3">
        <f>71028+112345+7252</f>
        <v>190625</v>
      </c>
      <c r="T42" s="3"/>
      <c r="U42" s="3">
        <v>45566</v>
      </c>
      <c r="V42" s="3"/>
      <c r="W42" s="3">
        <f>128102+362667</f>
        <v>490769</v>
      </c>
      <c r="X42" s="3"/>
      <c r="Y42" s="3">
        <f>124671+13477</f>
        <v>138148</v>
      </c>
      <c r="Z42" s="3"/>
      <c r="AA42" s="3">
        <v>11845124</v>
      </c>
      <c r="AB42" s="3"/>
      <c r="AC42" s="20">
        <f t="shared" si="1"/>
        <v>12710232</v>
      </c>
      <c r="AD42" s="13"/>
      <c r="AE42" s="3">
        <f t="shared" si="0"/>
        <v>0</v>
      </c>
    </row>
    <row r="43" spans="1:31">
      <c r="A43" s="3" t="s">
        <v>214</v>
      </c>
      <c r="B43" s="13"/>
      <c r="C43" s="13" t="s">
        <v>176</v>
      </c>
      <c r="E43" s="3">
        <v>8026463</v>
      </c>
      <c r="F43" s="3"/>
      <c r="G43" s="3">
        <v>12245</v>
      </c>
      <c r="H43" s="3"/>
      <c r="I43" s="7">
        <f t="shared" si="2"/>
        <v>6215778</v>
      </c>
      <c r="J43" s="3"/>
      <c r="K43" s="3">
        <v>14254486</v>
      </c>
      <c r="L43" s="3"/>
      <c r="M43" s="7">
        <f t="shared" si="3"/>
        <v>853384</v>
      </c>
      <c r="N43" s="3"/>
      <c r="O43" s="3">
        <v>5359175</v>
      </c>
      <c r="P43" s="3"/>
      <c r="Q43" s="3">
        <v>6212559</v>
      </c>
      <c r="R43" s="3"/>
      <c r="S43" s="3">
        <v>0</v>
      </c>
      <c r="T43" s="3"/>
      <c r="U43" s="3">
        <v>12245</v>
      </c>
      <c r="V43" s="3"/>
      <c r="W43" s="3">
        <v>75103</v>
      </c>
      <c r="X43" s="3"/>
      <c r="Y43" s="3">
        <v>397479</v>
      </c>
      <c r="Z43" s="3"/>
      <c r="AA43" s="3">
        <v>7557100</v>
      </c>
      <c r="AB43" s="3"/>
      <c r="AC43" s="20">
        <f t="shared" si="1"/>
        <v>8041927</v>
      </c>
      <c r="AD43" s="13"/>
      <c r="AE43" s="3">
        <f t="shared" si="0"/>
        <v>0</v>
      </c>
    </row>
    <row r="44" spans="1:31">
      <c r="A44" s="3" t="s">
        <v>328</v>
      </c>
      <c r="B44" s="13"/>
      <c r="C44" s="13" t="s">
        <v>206</v>
      </c>
      <c r="E44" s="3">
        <v>8773666</v>
      </c>
      <c r="F44" s="3"/>
      <c r="G44" s="3">
        <v>0</v>
      </c>
      <c r="H44" s="3"/>
      <c r="I44" s="7">
        <f t="shared" si="2"/>
        <v>11631850</v>
      </c>
      <c r="J44" s="3"/>
      <c r="K44" s="3">
        <v>20405516</v>
      </c>
      <c r="L44" s="3"/>
      <c r="M44" s="7">
        <f t="shared" si="3"/>
        <v>2775819</v>
      </c>
      <c r="N44" s="3"/>
      <c r="O44" s="3">
        <f>326790+10108144</f>
        <v>10434934</v>
      </c>
      <c r="P44" s="3"/>
      <c r="Q44" s="3">
        <v>13210753</v>
      </c>
      <c r="R44" s="3"/>
      <c r="S44" s="3">
        <v>77063</v>
      </c>
      <c r="T44" s="3"/>
      <c r="U44" s="3">
        <v>0</v>
      </c>
      <c r="V44" s="3"/>
      <c r="W44" s="3">
        <v>2392010</v>
      </c>
      <c r="X44" s="3"/>
      <c r="Y44" s="3">
        <f>282959+91371+15649+58414+283742</f>
        <v>732135</v>
      </c>
      <c r="Z44" s="3"/>
      <c r="AA44" s="3">
        <v>3993555</v>
      </c>
      <c r="AB44" s="3"/>
      <c r="AC44" s="20">
        <f t="shared" si="1"/>
        <v>7194763</v>
      </c>
      <c r="AD44" s="13"/>
      <c r="AE44" s="3">
        <f t="shared" si="0"/>
        <v>0</v>
      </c>
    </row>
    <row r="45" spans="1:31">
      <c r="A45" s="3" t="s">
        <v>372</v>
      </c>
      <c r="B45" s="13"/>
      <c r="C45" s="13" t="s">
        <v>192</v>
      </c>
      <c r="E45" s="3">
        <v>8770967</v>
      </c>
      <c r="F45" s="3"/>
      <c r="G45" s="3">
        <v>0</v>
      </c>
      <c r="H45" s="3"/>
      <c r="I45" s="7">
        <f t="shared" si="2"/>
        <v>4994854</v>
      </c>
      <c r="J45" s="3"/>
      <c r="K45" s="3">
        <v>13765821</v>
      </c>
      <c r="L45" s="3"/>
      <c r="M45" s="7">
        <f t="shared" si="3"/>
        <v>1630635</v>
      </c>
      <c r="N45" s="3"/>
      <c r="O45" s="3">
        <v>4425131</v>
      </c>
      <c r="P45" s="3"/>
      <c r="Q45" s="3">
        <v>6055766</v>
      </c>
      <c r="R45" s="3"/>
      <c r="S45" s="3">
        <v>0</v>
      </c>
      <c r="T45" s="3"/>
      <c r="U45" s="3">
        <v>0</v>
      </c>
      <c r="V45" s="3"/>
      <c r="W45" s="3">
        <v>235764</v>
      </c>
      <c r="X45" s="3"/>
      <c r="Y45" s="3">
        <v>210297</v>
      </c>
      <c r="Z45" s="3"/>
      <c r="AA45" s="3">
        <v>7263994</v>
      </c>
      <c r="AB45" s="3"/>
      <c r="AC45" s="20">
        <f t="shared" si="1"/>
        <v>7710055</v>
      </c>
      <c r="AD45" s="13"/>
      <c r="AE45" s="3">
        <f t="shared" si="0"/>
        <v>0</v>
      </c>
    </row>
    <row r="46" spans="1:31">
      <c r="A46" s="3" t="s">
        <v>249</v>
      </c>
      <c r="B46" s="13"/>
      <c r="C46" s="13" t="s">
        <v>220</v>
      </c>
      <c r="E46" s="3">
        <v>3640917</v>
      </c>
      <c r="F46" s="3"/>
      <c r="G46" s="3">
        <v>23547</v>
      </c>
      <c r="H46" s="3"/>
      <c r="I46" s="7">
        <f t="shared" si="2"/>
        <v>1340129</v>
      </c>
      <c r="J46" s="3"/>
      <c r="K46" s="3">
        <v>5004593</v>
      </c>
      <c r="L46" s="3"/>
      <c r="M46" s="7">
        <f t="shared" si="3"/>
        <v>430140</v>
      </c>
      <c r="N46" s="3"/>
      <c r="O46" s="3">
        <v>1030391</v>
      </c>
      <c r="P46" s="3"/>
      <c r="Q46" s="3">
        <v>1460531</v>
      </c>
      <c r="R46" s="3"/>
      <c r="S46" s="3">
        <v>1701</v>
      </c>
      <c r="T46" s="3"/>
      <c r="U46" s="3">
        <v>0</v>
      </c>
      <c r="V46" s="3"/>
      <c r="W46" s="3">
        <v>0</v>
      </c>
      <c r="X46" s="3"/>
      <c r="Y46" s="3">
        <v>6552</v>
      </c>
      <c r="Z46" s="3"/>
      <c r="AA46" s="3">
        <v>3535809</v>
      </c>
      <c r="AB46" s="3"/>
      <c r="AC46" s="20">
        <f t="shared" si="1"/>
        <v>3544062</v>
      </c>
      <c r="AD46" s="13"/>
      <c r="AE46" s="3">
        <f t="shared" si="0"/>
        <v>0</v>
      </c>
    </row>
    <row r="47" spans="1:31">
      <c r="A47" s="3" t="s">
        <v>373</v>
      </c>
      <c r="B47" s="13"/>
      <c r="C47" s="13" t="s">
        <v>191</v>
      </c>
      <c r="E47" s="3">
        <v>9665238</v>
      </c>
      <c r="F47" s="3"/>
      <c r="G47" s="3">
        <v>0</v>
      </c>
      <c r="H47" s="3"/>
      <c r="I47" s="7">
        <f t="shared" si="2"/>
        <v>4299375</v>
      </c>
      <c r="J47" s="3"/>
      <c r="K47" s="3">
        <v>13964613</v>
      </c>
      <c r="L47" s="3"/>
      <c r="M47" s="7">
        <f t="shared" si="3"/>
        <v>1500691</v>
      </c>
      <c r="N47" s="3"/>
      <c r="O47" s="3">
        <f>318587+2756175</f>
        <v>3074762</v>
      </c>
      <c r="P47" s="3"/>
      <c r="Q47" s="3">
        <v>4575453</v>
      </c>
      <c r="R47" s="3"/>
      <c r="S47" s="3">
        <f>36508+80992</f>
        <v>117500</v>
      </c>
      <c r="T47" s="3"/>
      <c r="U47" s="3">
        <v>0</v>
      </c>
      <c r="V47" s="3"/>
      <c r="W47" s="3">
        <v>0</v>
      </c>
      <c r="X47" s="3"/>
      <c r="Y47" s="3">
        <f>69381+180902+67854+1125458+101167</f>
        <v>1544762</v>
      </c>
      <c r="Z47" s="3"/>
      <c r="AA47" s="3">
        <v>7726898</v>
      </c>
      <c r="AB47" s="3"/>
      <c r="AC47" s="20">
        <f t="shared" si="1"/>
        <v>9389160</v>
      </c>
      <c r="AD47" s="13"/>
      <c r="AE47" s="3">
        <f t="shared" si="0"/>
        <v>0</v>
      </c>
    </row>
    <row r="48" spans="1:31">
      <c r="A48" s="3" t="s">
        <v>250</v>
      </c>
      <c r="B48" s="13"/>
      <c r="C48" s="13" t="s">
        <v>159</v>
      </c>
      <c r="E48" s="3">
        <v>9083831</v>
      </c>
      <c r="F48" s="3"/>
      <c r="G48" s="3">
        <v>241244</v>
      </c>
      <c r="H48" s="3"/>
      <c r="I48" s="7">
        <f t="shared" si="2"/>
        <v>9783171</v>
      </c>
      <c r="J48" s="3"/>
      <c r="K48" s="3">
        <v>19108246</v>
      </c>
      <c r="L48" s="3"/>
      <c r="M48" s="7">
        <f t="shared" si="3"/>
        <v>1616508</v>
      </c>
      <c r="N48" s="3"/>
      <c r="O48" s="3">
        <v>8273706</v>
      </c>
      <c r="P48" s="3"/>
      <c r="Q48" s="3">
        <v>9890214</v>
      </c>
      <c r="R48" s="3"/>
      <c r="S48" s="3">
        <v>30940</v>
      </c>
      <c r="T48" s="3"/>
      <c r="U48" s="3">
        <v>0</v>
      </c>
      <c r="V48" s="3"/>
      <c r="W48" s="3">
        <v>0</v>
      </c>
      <c r="X48" s="3"/>
      <c r="Y48" s="3">
        <v>2521346</v>
      </c>
      <c r="Z48" s="3"/>
      <c r="AA48" s="3">
        <v>6665746</v>
      </c>
      <c r="AB48" s="3"/>
      <c r="AC48" s="20">
        <f t="shared" si="1"/>
        <v>9218032</v>
      </c>
      <c r="AD48" s="13"/>
      <c r="AE48" s="3">
        <f t="shared" si="0"/>
        <v>0</v>
      </c>
    </row>
    <row r="49" spans="1:31">
      <c r="A49" s="3" t="s">
        <v>251</v>
      </c>
      <c r="B49" s="13"/>
      <c r="C49" s="13" t="s">
        <v>198</v>
      </c>
      <c r="E49" s="3">
        <v>11820855</v>
      </c>
      <c r="F49" s="3"/>
      <c r="G49" s="3">
        <v>38707</v>
      </c>
      <c r="H49" s="3"/>
      <c r="I49" s="7">
        <f t="shared" si="2"/>
        <v>3075331</v>
      </c>
      <c r="J49" s="3"/>
      <c r="K49" s="3">
        <v>14934893</v>
      </c>
      <c r="L49" s="3"/>
      <c r="M49" s="7">
        <f t="shared" si="3"/>
        <v>816255</v>
      </c>
      <c r="N49" s="3"/>
      <c r="O49" s="3">
        <v>2778165</v>
      </c>
      <c r="P49" s="3"/>
      <c r="Q49" s="3">
        <v>3594420</v>
      </c>
      <c r="R49" s="3"/>
      <c r="S49" s="3">
        <v>0</v>
      </c>
      <c r="T49" s="3"/>
      <c r="U49" s="3">
        <v>38707</v>
      </c>
      <c r="V49" s="3"/>
      <c r="W49" s="3">
        <v>11000</v>
      </c>
      <c r="X49" s="3"/>
      <c r="Y49" s="3">
        <v>767786</v>
      </c>
      <c r="Z49" s="3"/>
      <c r="AA49" s="3">
        <v>10522980</v>
      </c>
      <c r="AB49" s="3"/>
      <c r="AC49" s="20">
        <f t="shared" si="1"/>
        <v>11340473</v>
      </c>
      <c r="AD49" s="13"/>
      <c r="AE49" s="3">
        <f t="shared" si="0"/>
        <v>0</v>
      </c>
    </row>
    <row r="50" spans="1:31">
      <c r="A50" s="3" t="s">
        <v>252</v>
      </c>
      <c r="B50" s="13"/>
      <c r="C50" s="13" t="s">
        <v>194</v>
      </c>
      <c r="E50" s="3">
        <v>2846407</v>
      </c>
      <c r="F50" s="3"/>
      <c r="G50" s="3">
        <v>0</v>
      </c>
      <c r="H50" s="3"/>
      <c r="I50" s="7">
        <f t="shared" si="2"/>
        <v>2399063</v>
      </c>
      <c r="J50" s="3"/>
      <c r="K50" s="3">
        <v>5245470</v>
      </c>
      <c r="L50" s="3"/>
      <c r="M50" s="7">
        <f t="shared" si="3"/>
        <v>517758</v>
      </c>
      <c r="N50" s="3"/>
      <c r="O50" s="3">
        <v>2185077</v>
      </c>
      <c r="P50" s="3"/>
      <c r="Q50" s="3">
        <v>2702835</v>
      </c>
      <c r="R50" s="3"/>
      <c r="S50" s="3">
        <v>0</v>
      </c>
      <c r="T50" s="3"/>
      <c r="U50" s="3">
        <v>0</v>
      </c>
      <c r="V50" s="3"/>
      <c r="W50" s="3">
        <v>0</v>
      </c>
      <c r="X50" s="3"/>
      <c r="Y50" s="3">
        <v>502493</v>
      </c>
      <c r="Z50" s="3"/>
      <c r="AA50" s="3">
        <v>2040142</v>
      </c>
      <c r="AB50" s="3"/>
      <c r="AC50" s="20">
        <f t="shared" si="1"/>
        <v>2542635</v>
      </c>
      <c r="AD50" s="13"/>
      <c r="AE50" s="3">
        <f t="shared" si="0"/>
        <v>0</v>
      </c>
    </row>
    <row r="51" spans="1:31">
      <c r="A51" s="3" t="s">
        <v>207</v>
      </c>
      <c r="B51" s="13"/>
      <c r="C51" s="13" t="s">
        <v>152</v>
      </c>
      <c r="E51" s="3">
        <f>3405763+20297</f>
        <v>3426060</v>
      </c>
      <c r="F51" s="3"/>
      <c r="G51" s="3">
        <v>0</v>
      </c>
      <c r="H51" s="3"/>
      <c r="I51" s="7">
        <f t="shared" si="2"/>
        <v>2105246</v>
      </c>
      <c r="J51" s="3"/>
      <c r="K51" s="3">
        <v>5531306</v>
      </c>
      <c r="L51" s="3"/>
      <c r="M51" s="7">
        <f t="shared" si="3"/>
        <v>442926</v>
      </c>
      <c r="N51" s="3"/>
      <c r="O51" s="3">
        <v>1442600</v>
      </c>
      <c r="P51" s="3"/>
      <c r="Q51" s="3">
        <v>1885526</v>
      </c>
      <c r="R51" s="3"/>
      <c r="S51" s="3">
        <v>204367</v>
      </c>
      <c r="T51" s="3"/>
      <c r="U51" s="3">
        <v>0</v>
      </c>
      <c r="V51" s="3"/>
      <c r="W51" s="3">
        <v>182435</v>
      </c>
      <c r="X51" s="3"/>
      <c r="Y51" s="3">
        <v>88520</v>
      </c>
      <c r="Z51" s="3"/>
      <c r="AA51" s="3">
        <v>3170458</v>
      </c>
      <c r="AB51" s="3"/>
      <c r="AC51" s="20">
        <f t="shared" si="1"/>
        <v>3645780</v>
      </c>
      <c r="AD51" s="13"/>
      <c r="AE51" s="3">
        <f t="shared" si="0"/>
        <v>0</v>
      </c>
    </row>
    <row r="52" spans="1:31">
      <c r="A52" s="3" t="s">
        <v>374</v>
      </c>
      <c r="B52" s="13"/>
      <c r="C52" s="13" t="s">
        <v>154</v>
      </c>
      <c r="E52" s="3">
        <v>7554654</v>
      </c>
      <c r="F52" s="3"/>
      <c r="G52" s="3">
        <v>0</v>
      </c>
      <c r="H52" s="3"/>
      <c r="I52" s="7">
        <f t="shared" si="2"/>
        <v>5649440</v>
      </c>
      <c r="J52" s="3"/>
      <c r="K52" s="3">
        <v>13204094</v>
      </c>
      <c r="L52" s="3"/>
      <c r="M52" s="7">
        <f t="shared" si="3"/>
        <v>930846</v>
      </c>
      <c r="N52" s="3"/>
      <c r="O52" s="3">
        <v>4330062</v>
      </c>
      <c r="P52" s="3"/>
      <c r="Q52" s="3">
        <v>5260908</v>
      </c>
      <c r="R52" s="3"/>
      <c r="S52" s="3">
        <v>51518</v>
      </c>
      <c r="T52" s="3"/>
      <c r="U52" s="3">
        <v>0</v>
      </c>
      <c r="V52" s="3"/>
      <c r="W52" s="3">
        <v>0</v>
      </c>
      <c r="X52" s="3"/>
      <c r="Y52" s="3">
        <v>192763</v>
      </c>
      <c r="Z52" s="3"/>
      <c r="AA52" s="3">
        <v>7698905</v>
      </c>
      <c r="AB52" s="3"/>
      <c r="AC52" s="20">
        <f t="shared" si="1"/>
        <v>7943186</v>
      </c>
      <c r="AD52" s="13"/>
      <c r="AE52" s="3">
        <f t="shared" si="0"/>
        <v>0</v>
      </c>
    </row>
    <row r="53" spans="1:31">
      <c r="A53" s="3" t="s">
        <v>221</v>
      </c>
      <c r="B53" s="13"/>
      <c r="C53" s="13" t="s">
        <v>197</v>
      </c>
      <c r="E53" s="3">
        <v>10599218</v>
      </c>
      <c r="F53" s="3"/>
      <c r="G53" s="3">
        <v>0</v>
      </c>
      <c r="H53" s="3"/>
      <c r="I53" s="7">
        <f t="shared" si="2"/>
        <v>2424075</v>
      </c>
      <c r="J53" s="3"/>
      <c r="K53" s="3">
        <v>13023293</v>
      </c>
      <c r="L53" s="3"/>
      <c r="M53" s="7">
        <f t="shared" si="3"/>
        <v>3016471</v>
      </c>
      <c r="N53" s="3"/>
      <c r="O53" s="3">
        <v>108730</v>
      </c>
      <c r="P53" s="3"/>
      <c r="Q53" s="3">
        <v>3125201</v>
      </c>
      <c r="R53" s="3"/>
      <c r="S53" s="3">
        <f>5452+30000</f>
        <v>35452</v>
      </c>
      <c r="T53" s="3"/>
      <c r="U53" s="3">
        <v>0</v>
      </c>
      <c r="V53" s="3"/>
      <c r="W53" s="3">
        <v>0</v>
      </c>
      <c r="X53" s="3"/>
      <c r="Y53" s="3">
        <f>37759+18466+4681+57697</f>
        <v>118603</v>
      </c>
      <c r="Z53" s="3"/>
      <c r="AA53" s="3">
        <v>9744037</v>
      </c>
      <c r="AB53" s="3"/>
      <c r="AC53" s="20">
        <f t="shared" si="1"/>
        <v>9898092</v>
      </c>
      <c r="AD53" s="13"/>
      <c r="AE53" s="3">
        <f t="shared" si="0"/>
        <v>0</v>
      </c>
    </row>
    <row r="54" spans="1:31">
      <c r="A54" s="3" t="s">
        <v>277</v>
      </c>
      <c r="B54" s="13"/>
      <c r="C54" s="13" t="s">
        <v>216</v>
      </c>
      <c r="E54" s="3">
        <v>5680055</v>
      </c>
      <c r="F54" s="3"/>
      <c r="G54" s="3">
        <v>0</v>
      </c>
      <c r="H54" s="3"/>
      <c r="I54" s="7">
        <f t="shared" si="2"/>
        <v>9981210</v>
      </c>
      <c r="J54" s="3"/>
      <c r="K54" s="3">
        <v>15661265</v>
      </c>
      <c r="L54" s="3"/>
      <c r="M54" s="7">
        <f t="shared" si="3"/>
        <v>980881</v>
      </c>
      <c r="N54" s="3"/>
      <c r="O54" s="3">
        <v>6297438</v>
      </c>
      <c r="P54" s="3"/>
      <c r="Q54" s="3">
        <v>7278319</v>
      </c>
      <c r="R54" s="3"/>
      <c r="S54" s="3">
        <f>82679+17195</f>
        <v>99874</v>
      </c>
      <c r="T54" s="3"/>
      <c r="U54" s="3">
        <v>0</v>
      </c>
      <c r="V54" s="3"/>
      <c r="W54" s="3">
        <v>0</v>
      </c>
      <c r="X54" s="3"/>
      <c r="Y54" s="3">
        <v>228213</v>
      </c>
      <c r="Z54" s="3"/>
      <c r="AA54" s="3">
        <v>8054859</v>
      </c>
      <c r="AB54" s="3"/>
      <c r="AC54" s="20">
        <f t="shared" si="1"/>
        <v>8382946</v>
      </c>
      <c r="AD54" s="13"/>
      <c r="AE54" s="3">
        <f t="shared" si="0"/>
        <v>0</v>
      </c>
    </row>
    <row r="55" spans="1:31">
      <c r="A55" s="3" t="s">
        <v>290</v>
      </c>
      <c r="B55" s="13"/>
      <c r="C55" s="13" t="s">
        <v>147</v>
      </c>
      <c r="E55" s="3">
        <v>2971949</v>
      </c>
      <c r="F55" s="3"/>
      <c r="G55" s="3">
        <v>0</v>
      </c>
      <c r="H55" s="3"/>
      <c r="I55" s="7">
        <f t="shared" si="2"/>
        <v>3263431</v>
      </c>
      <c r="J55" s="3"/>
      <c r="K55" s="3">
        <v>6235380</v>
      </c>
      <c r="L55" s="3"/>
      <c r="M55" s="7">
        <f t="shared" si="3"/>
        <v>659987</v>
      </c>
      <c r="N55" s="3"/>
      <c r="O55" s="3">
        <v>2808432</v>
      </c>
      <c r="P55" s="3"/>
      <c r="Q55" s="3">
        <v>3468419</v>
      </c>
      <c r="R55" s="3"/>
      <c r="S55" s="3">
        <v>63906</v>
      </c>
      <c r="T55" s="3"/>
      <c r="U55" s="3">
        <v>0</v>
      </c>
      <c r="V55" s="3"/>
      <c r="W55" s="3">
        <v>0</v>
      </c>
      <c r="X55" s="3"/>
      <c r="Y55" s="3">
        <v>101359</v>
      </c>
      <c r="Z55" s="3"/>
      <c r="AA55" s="3">
        <v>2601696</v>
      </c>
      <c r="AB55" s="3"/>
      <c r="AC55" s="20">
        <f t="shared" si="1"/>
        <v>2766961</v>
      </c>
      <c r="AD55" s="13"/>
      <c r="AE55" s="3">
        <f t="shared" si="0"/>
        <v>0</v>
      </c>
    </row>
    <row r="56" spans="1:31">
      <c r="A56" s="3" t="s">
        <v>217</v>
      </c>
      <c r="B56" s="13"/>
      <c r="C56" s="13" t="s">
        <v>218</v>
      </c>
      <c r="E56" s="3">
        <v>3575760</v>
      </c>
      <c r="F56" s="3"/>
      <c r="G56" s="3">
        <v>0</v>
      </c>
      <c r="H56" s="3"/>
      <c r="I56" s="7">
        <f t="shared" si="2"/>
        <v>4418952</v>
      </c>
      <c r="J56" s="3"/>
      <c r="K56" s="3">
        <v>7994712</v>
      </c>
      <c r="L56" s="3"/>
      <c r="M56" s="7">
        <f t="shared" si="3"/>
        <v>1151955</v>
      </c>
      <c r="N56" s="3"/>
      <c r="O56" s="3">
        <v>3103038</v>
      </c>
      <c r="P56" s="3"/>
      <c r="Q56" s="3">
        <v>4254993</v>
      </c>
      <c r="R56" s="3"/>
      <c r="S56" s="3">
        <v>54909</v>
      </c>
      <c r="T56" s="3"/>
      <c r="U56" s="3">
        <v>0</v>
      </c>
      <c r="V56" s="3"/>
      <c r="W56" s="3">
        <v>0</v>
      </c>
      <c r="X56" s="3"/>
      <c r="Y56" s="3">
        <v>159268</v>
      </c>
      <c r="Z56" s="3"/>
      <c r="AA56" s="3">
        <v>3525542</v>
      </c>
      <c r="AB56" s="3"/>
      <c r="AC56" s="20">
        <f t="shared" si="1"/>
        <v>3739719</v>
      </c>
      <c r="AD56" s="13"/>
      <c r="AE56" s="3">
        <f t="shared" si="0"/>
        <v>0</v>
      </c>
    </row>
    <row r="57" spans="1:31">
      <c r="A57" s="3" t="s">
        <v>375</v>
      </c>
      <c r="B57" s="13"/>
      <c r="C57" s="13" t="s">
        <v>199</v>
      </c>
      <c r="E57" s="3">
        <v>9262380</v>
      </c>
      <c r="F57" s="3"/>
      <c r="G57" s="3">
        <v>0</v>
      </c>
      <c r="H57" s="3"/>
      <c r="I57" s="7">
        <f t="shared" si="2"/>
        <v>6788508</v>
      </c>
      <c r="J57" s="3"/>
      <c r="K57" s="3">
        <v>16050888</v>
      </c>
      <c r="L57" s="3"/>
      <c r="M57" s="7">
        <f t="shared" si="3"/>
        <v>1801361</v>
      </c>
      <c r="N57" s="3"/>
      <c r="O57" s="3">
        <f>5008999+1602751</f>
        <v>6611750</v>
      </c>
      <c r="P57" s="3"/>
      <c r="Q57" s="3">
        <v>8413111</v>
      </c>
      <c r="R57" s="3"/>
      <c r="S57" s="3">
        <v>34972</v>
      </c>
      <c r="T57" s="3"/>
      <c r="U57" s="3">
        <v>0</v>
      </c>
      <c r="V57" s="3"/>
      <c r="W57" s="3">
        <v>18441</v>
      </c>
      <c r="X57" s="3"/>
      <c r="Y57" s="3">
        <f>8117+59058+103+97112+175825</f>
        <v>340215</v>
      </c>
      <c r="Z57" s="3"/>
      <c r="AA57" s="3">
        <v>7244149</v>
      </c>
      <c r="AB57" s="3"/>
      <c r="AC57" s="20">
        <f t="shared" si="1"/>
        <v>7637777</v>
      </c>
      <c r="AD57" s="13"/>
      <c r="AE57" s="3">
        <f t="shared" si="0"/>
        <v>0</v>
      </c>
    </row>
    <row r="58" spans="1:31">
      <c r="A58" s="3" t="s">
        <v>208</v>
      </c>
      <c r="B58" s="13"/>
      <c r="C58" s="13" t="s">
        <v>156</v>
      </c>
      <c r="E58" s="3">
        <v>10181662</v>
      </c>
      <c r="F58" s="3"/>
      <c r="G58" s="3">
        <v>24056</v>
      </c>
      <c r="H58" s="3"/>
      <c r="I58" s="7">
        <f t="shared" si="2"/>
        <v>3701093</v>
      </c>
      <c r="J58" s="3"/>
      <c r="K58" s="3">
        <v>13906811</v>
      </c>
      <c r="L58" s="3"/>
      <c r="M58" s="7">
        <f t="shared" si="3"/>
        <v>548876</v>
      </c>
      <c r="N58" s="3"/>
      <c r="O58" s="3">
        <v>3438051</v>
      </c>
      <c r="P58" s="3"/>
      <c r="Q58" s="3">
        <v>3986927</v>
      </c>
      <c r="R58" s="3"/>
      <c r="S58" s="3">
        <v>0</v>
      </c>
      <c r="T58" s="3"/>
      <c r="U58" s="3">
        <v>0</v>
      </c>
      <c r="V58" s="3"/>
      <c r="W58" s="3">
        <v>0</v>
      </c>
      <c r="X58" s="3"/>
      <c r="Y58" s="3">
        <v>52455</v>
      </c>
      <c r="Z58" s="3"/>
      <c r="AA58" s="3">
        <v>9867429</v>
      </c>
      <c r="AB58" s="3"/>
      <c r="AC58" s="20">
        <f t="shared" si="1"/>
        <v>9919884</v>
      </c>
      <c r="AD58" s="13"/>
      <c r="AE58" s="3">
        <f t="shared" si="0"/>
        <v>0</v>
      </c>
    </row>
    <row r="59" spans="1:31">
      <c r="A59" s="3" t="s">
        <v>363</v>
      </c>
      <c r="B59" s="13"/>
      <c r="C59" s="13" t="s">
        <v>182</v>
      </c>
      <c r="E59" s="3">
        <v>3531095</v>
      </c>
      <c r="F59" s="3"/>
      <c r="G59" s="3">
        <v>464</v>
      </c>
      <c r="H59" s="3"/>
      <c r="I59" s="7">
        <f>+K59-G59-E59</f>
        <v>6192953</v>
      </c>
      <c r="J59" s="3"/>
      <c r="K59" s="3">
        <v>9724512</v>
      </c>
      <c r="L59" s="3"/>
      <c r="M59" s="7">
        <f t="shared" si="3"/>
        <v>1339095</v>
      </c>
      <c r="N59" s="3"/>
      <c r="O59" s="3">
        <v>4992582</v>
      </c>
      <c r="P59" s="3"/>
      <c r="Q59" s="3">
        <v>6331677</v>
      </c>
      <c r="R59" s="3"/>
      <c r="S59" s="3">
        <v>76926</v>
      </c>
      <c r="T59" s="3"/>
      <c r="U59" s="3">
        <v>0</v>
      </c>
      <c r="V59" s="3"/>
      <c r="W59" s="3">
        <v>7043</v>
      </c>
      <c r="X59" s="3"/>
      <c r="Y59" s="3">
        <v>789010</v>
      </c>
      <c r="Z59" s="3"/>
      <c r="AA59" s="3">
        <v>2519856</v>
      </c>
      <c r="AB59" s="3"/>
      <c r="AC59" s="20">
        <f t="shared" si="1"/>
        <v>3392835</v>
      </c>
      <c r="AD59" s="13"/>
      <c r="AE59" s="3">
        <f t="shared" si="0"/>
        <v>0</v>
      </c>
    </row>
    <row r="60" spans="1:31">
      <c r="A60" s="3" t="s">
        <v>253</v>
      </c>
      <c r="B60" s="13"/>
      <c r="C60" s="13" t="s">
        <v>193</v>
      </c>
      <c r="E60" s="3">
        <f>5972347+146</f>
        <v>5972493</v>
      </c>
      <c r="F60" s="3"/>
      <c r="G60" s="3">
        <v>0</v>
      </c>
      <c r="H60" s="3"/>
      <c r="I60" s="7">
        <f t="shared" si="2"/>
        <v>4407576</v>
      </c>
      <c r="J60" s="3"/>
      <c r="K60" s="3">
        <v>10380069</v>
      </c>
      <c r="L60" s="3"/>
      <c r="M60" s="7">
        <f t="shared" si="3"/>
        <v>1215090</v>
      </c>
      <c r="N60" s="3"/>
      <c r="O60" s="3">
        <f>198948+3560159</f>
        <v>3759107</v>
      </c>
      <c r="P60" s="3"/>
      <c r="Q60" s="3">
        <v>4974197</v>
      </c>
      <c r="R60" s="3"/>
      <c r="S60" s="3">
        <f>3360+43027</f>
        <v>46387</v>
      </c>
      <c r="T60" s="3"/>
      <c r="U60" s="3">
        <v>0</v>
      </c>
      <c r="V60" s="3"/>
      <c r="W60" s="3">
        <v>395344</v>
      </c>
      <c r="X60" s="3"/>
      <c r="Y60" s="3">
        <f>245114+236034+16606</f>
        <v>497754</v>
      </c>
      <c r="Z60" s="3"/>
      <c r="AA60" s="3">
        <v>4466387</v>
      </c>
      <c r="AB60" s="3"/>
      <c r="AC60" s="20">
        <f t="shared" si="1"/>
        <v>5405872</v>
      </c>
      <c r="AD60" s="13"/>
      <c r="AE60" s="3">
        <f t="shared" si="0"/>
        <v>0</v>
      </c>
    </row>
    <row r="61" spans="1:31">
      <c r="A61" s="3" t="s">
        <v>254</v>
      </c>
      <c r="B61" s="13"/>
      <c r="C61" s="13" t="s">
        <v>202</v>
      </c>
      <c r="E61" s="3">
        <v>3946880</v>
      </c>
      <c r="F61" s="3"/>
      <c r="G61" s="3">
        <v>0</v>
      </c>
      <c r="H61" s="3"/>
      <c r="I61" s="7">
        <f t="shared" si="2"/>
        <v>2967689</v>
      </c>
      <c r="J61" s="3"/>
      <c r="K61" s="3">
        <v>6914569</v>
      </c>
      <c r="L61" s="3"/>
      <c r="M61" s="7">
        <f t="shared" si="3"/>
        <v>698965</v>
      </c>
      <c r="N61" s="3"/>
      <c r="O61" s="3">
        <f>274325+2306687</f>
        <v>2581012</v>
      </c>
      <c r="P61" s="3"/>
      <c r="Q61" s="3">
        <v>3279977</v>
      </c>
      <c r="R61" s="3"/>
      <c r="S61" s="3">
        <f>76513+45029</f>
        <v>121542</v>
      </c>
      <c r="T61" s="3"/>
      <c r="U61" s="3">
        <v>0</v>
      </c>
      <c r="V61" s="3"/>
      <c r="W61" s="3">
        <v>0</v>
      </c>
      <c r="X61" s="3"/>
      <c r="Y61" s="3">
        <f>3758+18257+353352</f>
        <v>375367</v>
      </c>
      <c r="Z61" s="3"/>
      <c r="AA61" s="3">
        <v>3137683</v>
      </c>
      <c r="AB61" s="3"/>
      <c r="AC61" s="20">
        <f t="shared" si="1"/>
        <v>3634592</v>
      </c>
      <c r="AD61" s="13"/>
      <c r="AE61" s="3">
        <f t="shared" si="0"/>
        <v>0</v>
      </c>
    </row>
    <row r="62" spans="1:31">
      <c r="A62" s="3" t="s">
        <v>360</v>
      </c>
      <c r="B62" s="13"/>
      <c r="C62" s="13" t="s">
        <v>203</v>
      </c>
      <c r="E62" s="3">
        <v>6394613</v>
      </c>
      <c r="F62" s="3"/>
      <c r="G62" s="3">
        <v>0</v>
      </c>
      <c r="H62" s="3"/>
      <c r="I62" s="7">
        <f t="shared" si="2"/>
        <v>9517513</v>
      </c>
      <c r="J62" s="3"/>
      <c r="K62" s="3">
        <v>15912126</v>
      </c>
      <c r="L62" s="3"/>
      <c r="M62" s="7">
        <f t="shared" si="3"/>
        <v>940188</v>
      </c>
      <c r="N62" s="3"/>
      <c r="O62" s="3">
        <v>8823258</v>
      </c>
      <c r="P62" s="3"/>
      <c r="Q62" s="3">
        <v>9763446</v>
      </c>
      <c r="R62" s="3"/>
      <c r="S62" s="3">
        <v>90234</v>
      </c>
      <c r="T62" s="3"/>
      <c r="U62" s="3">
        <v>0</v>
      </c>
      <c r="V62" s="3"/>
      <c r="W62" s="3">
        <v>0</v>
      </c>
      <c r="X62" s="3"/>
      <c r="Y62" s="3">
        <v>206571</v>
      </c>
      <c r="Z62" s="3"/>
      <c r="AA62" s="3">
        <v>5851875</v>
      </c>
      <c r="AB62" s="3"/>
      <c r="AC62" s="20">
        <f t="shared" si="1"/>
        <v>6148680</v>
      </c>
      <c r="AD62" s="13"/>
      <c r="AE62" s="3">
        <f t="shared" si="0"/>
        <v>0</v>
      </c>
    </row>
    <row r="63" spans="1:31">
      <c r="A63" s="3" t="s">
        <v>267</v>
      </c>
      <c r="B63" s="13"/>
      <c r="C63" s="13" t="s">
        <v>204</v>
      </c>
      <c r="E63" s="3">
        <v>3396695</v>
      </c>
      <c r="F63" s="3"/>
      <c r="G63" s="3">
        <f>29217+358828</f>
        <v>388045</v>
      </c>
      <c r="H63" s="3"/>
      <c r="I63" s="7">
        <f t="shared" si="2"/>
        <v>2176731</v>
      </c>
      <c r="J63" s="3"/>
      <c r="K63" s="3">
        <v>5961471</v>
      </c>
      <c r="L63" s="3"/>
      <c r="M63" s="7">
        <f t="shared" si="3"/>
        <v>443604</v>
      </c>
      <c r="N63" s="3"/>
      <c r="O63" s="3">
        <v>2101694</v>
      </c>
      <c r="P63" s="3"/>
      <c r="Q63" s="3">
        <v>2545298</v>
      </c>
      <c r="R63" s="3"/>
      <c r="S63" s="3">
        <v>16556</v>
      </c>
      <c r="T63" s="3"/>
      <c r="U63" s="3">
        <v>28932</v>
      </c>
      <c r="V63" s="3"/>
      <c r="W63" s="3">
        <v>6795</v>
      </c>
      <c r="X63" s="3"/>
      <c r="Y63" s="3">
        <v>47613</v>
      </c>
      <c r="Z63" s="3"/>
      <c r="AA63" s="3">
        <v>3316277</v>
      </c>
      <c r="AB63" s="3"/>
      <c r="AC63" s="20">
        <f t="shared" si="1"/>
        <v>3416173</v>
      </c>
      <c r="AD63" s="13"/>
      <c r="AE63" s="3">
        <f t="shared" si="0"/>
        <v>0</v>
      </c>
    </row>
    <row r="64" spans="1:31">
      <c r="A64" s="3" t="s">
        <v>361</v>
      </c>
      <c r="B64" s="13"/>
      <c r="C64" s="13" t="s">
        <v>205</v>
      </c>
      <c r="E64" s="3">
        <v>7130317</v>
      </c>
      <c r="F64" s="3"/>
      <c r="G64" s="3">
        <v>0</v>
      </c>
      <c r="H64" s="3"/>
      <c r="I64" s="7">
        <f t="shared" si="2"/>
        <v>4040637</v>
      </c>
      <c r="J64" s="3"/>
      <c r="K64" s="3">
        <v>11170954</v>
      </c>
      <c r="L64" s="3"/>
      <c r="M64" s="7">
        <f t="shared" si="3"/>
        <v>952708</v>
      </c>
      <c r="N64" s="3"/>
      <c r="O64" s="3">
        <v>3592190</v>
      </c>
      <c r="P64" s="3"/>
      <c r="Q64" s="3">
        <v>4544898</v>
      </c>
      <c r="R64" s="3"/>
      <c r="S64" s="3">
        <v>0</v>
      </c>
      <c r="T64" s="3"/>
      <c r="U64" s="3">
        <v>0</v>
      </c>
      <c r="V64" s="3"/>
      <c r="W64" s="3">
        <v>0</v>
      </c>
      <c r="X64" s="3"/>
      <c r="Y64" s="3">
        <v>875235</v>
      </c>
      <c r="Z64" s="3"/>
      <c r="AA64" s="3">
        <v>5750821</v>
      </c>
      <c r="AB64" s="3"/>
      <c r="AC64" s="20">
        <f t="shared" si="1"/>
        <v>6626056</v>
      </c>
      <c r="AD64" s="13"/>
      <c r="AE64" s="3">
        <f t="shared" si="0"/>
        <v>0</v>
      </c>
    </row>
    <row r="65" spans="1:31">
      <c r="A65" s="3"/>
      <c r="B65" s="13"/>
      <c r="C65" s="13"/>
      <c r="E65" s="3"/>
      <c r="F65" s="3"/>
      <c r="G65" s="3"/>
      <c r="H65" s="3"/>
      <c r="I65" s="7"/>
      <c r="J65" s="3"/>
      <c r="K65" s="3"/>
      <c r="L65" s="3"/>
      <c r="M65" s="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20"/>
      <c r="AD65" s="13"/>
      <c r="AE65" s="3">
        <f t="shared" si="0"/>
        <v>0</v>
      </c>
    </row>
    <row r="66" spans="1:31">
      <c r="A66" s="3"/>
      <c r="B66" s="13"/>
      <c r="C66" s="13"/>
      <c r="E66" s="3"/>
      <c r="F66" s="3"/>
      <c r="G66" s="3"/>
      <c r="H66" s="3"/>
      <c r="I66" s="7"/>
      <c r="J66" s="3"/>
      <c r="K66" s="3"/>
      <c r="L66" s="3"/>
      <c r="M66" s="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20" t="s">
        <v>257</v>
      </c>
      <c r="AD66" s="13"/>
      <c r="AE66" s="3">
        <f t="shared" si="0"/>
        <v>0</v>
      </c>
    </row>
    <row r="67" spans="1:31">
      <c r="A67" s="31" t="s">
        <v>256</v>
      </c>
      <c r="B67" s="13"/>
      <c r="C67" s="13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0"/>
      <c r="AD67" s="13"/>
      <c r="AE67" s="3"/>
    </row>
    <row r="68" spans="1:31">
      <c r="A68" s="31"/>
      <c r="B68" s="13"/>
      <c r="C68" s="13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0"/>
      <c r="AD68" s="13"/>
      <c r="AE68" s="3"/>
    </row>
    <row r="69" spans="1:31" hidden="1">
      <c r="A69" s="3" t="s">
        <v>333</v>
      </c>
      <c r="B69" s="3"/>
      <c r="C69" s="3" t="s">
        <v>263</v>
      </c>
      <c r="E69" s="3">
        <v>0</v>
      </c>
      <c r="F69" s="3"/>
      <c r="G69" s="3">
        <v>0</v>
      </c>
      <c r="H69" s="3"/>
      <c r="I69" s="7">
        <f>+K69-G69-E69</f>
        <v>0</v>
      </c>
      <c r="J69" s="3"/>
      <c r="K69" s="3">
        <v>0</v>
      </c>
      <c r="L69" s="3"/>
      <c r="M69" s="7">
        <f>+Q69-O69</f>
        <v>0</v>
      </c>
      <c r="N69" s="3"/>
      <c r="O69" s="3">
        <v>0</v>
      </c>
      <c r="P69" s="3"/>
      <c r="Q69" s="3">
        <v>0</v>
      </c>
      <c r="R69" s="3"/>
      <c r="S69" s="3">
        <v>0</v>
      </c>
      <c r="T69" s="3"/>
      <c r="U69" s="3">
        <v>0</v>
      </c>
      <c r="V69" s="3"/>
      <c r="W69" s="3">
        <v>0</v>
      </c>
      <c r="X69" s="3"/>
      <c r="Y69" s="3">
        <v>0</v>
      </c>
      <c r="Z69" s="3"/>
      <c r="AA69" s="3">
        <v>0</v>
      </c>
      <c r="AB69" s="3"/>
      <c r="AC69" s="20">
        <f>SUM(S69:AA69)</f>
        <v>0</v>
      </c>
      <c r="AD69" s="13"/>
      <c r="AE69" s="3">
        <f t="shared" si="0"/>
        <v>0</v>
      </c>
    </row>
    <row r="70" spans="1:31" hidden="1">
      <c r="A70" s="3" t="s">
        <v>334</v>
      </c>
      <c r="B70" s="3"/>
      <c r="C70" s="3" t="s">
        <v>146</v>
      </c>
      <c r="E70" s="3">
        <v>0</v>
      </c>
      <c r="F70" s="3"/>
      <c r="G70" s="3">
        <v>0</v>
      </c>
      <c r="H70" s="3"/>
      <c r="I70" s="7">
        <f>+K70-G70-E70</f>
        <v>0</v>
      </c>
      <c r="J70" s="3"/>
      <c r="K70" s="3">
        <v>0</v>
      </c>
      <c r="L70" s="3"/>
      <c r="M70" s="7">
        <f>+Q70-O70</f>
        <v>0</v>
      </c>
      <c r="N70" s="3"/>
      <c r="O70" s="3">
        <v>0</v>
      </c>
      <c r="P70" s="3"/>
      <c r="Q70" s="3">
        <v>0</v>
      </c>
      <c r="R70" s="3"/>
      <c r="S70" s="3">
        <v>0</v>
      </c>
      <c r="T70" s="3"/>
      <c r="U70" s="3">
        <v>0</v>
      </c>
      <c r="V70" s="3"/>
      <c r="W70" s="3">
        <v>0</v>
      </c>
      <c r="X70" s="3"/>
      <c r="Y70" s="3">
        <v>0</v>
      </c>
      <c r="Z70" s="3"/>
      <c r="AA70" s="3">
        <v>0</v>
      </c>
      <c r="AB70" s="3"/>
      <c r="AC70" s="20">
        <f>SUM(S70:AA70)</f>
        <v>0</v>
      </c>
      <c r="AD70" s="13"/>
      <c r="AE70" s="3">
        <f t="shared" si="0"/>
        <v>0</v>
      </c>
    </row>
    <row r="71" spans="1:31">
      <c r="A71" s="3" t="s">
        <v>150</v>
      </c>
      <c r="B71" s="13"/>
      <c r="C71" s="13" t="s">
        <v>147</v>
      </c>
      <c r="E71" s="17">
        <v>619089</v>
      </c>
      <c r="F71" s="17"/>
      <c r="G71" s="17">
        <v>0</v>
      </c>
      <c r="H71" s="17"/>
      <c r="I71" s="64">
        <f>+K71-G71-E71</f>
        <v>596431</v>
      </c>
      <c r="J71" s="17"/>
      <c r="K71" s="17">
        <v>1215520</v>
      </c>
      <c r="L71" s="17"/>
      <c r="M71" s="64">
        <f>+Q71-O71</f>
        <v>425051</v>
      </c>
      <c r="N71" s="17"/>
      <c r="O71" s="17">
        <v>144850</v>
      </c>
      <c r="P71" s="17"/>
      <c r="Q71" s="17">
        <v>569901</v>
      </c>
      <c r="R71" s="17"/>
      <c r="S71" s="17">
        <v>0</v>
      </c>
      <c r="T71" s="17"/>
      <c r="U71" s="17">
        <v>0</v>
      </c>
      <c r="V71" s="17"/>
      <c r="W71" s="17">
        <v>0</v>
      </c>
      <c r="X71" s="17"/>
      <c r="Y71" s="17">
        <v>139285</v>
      </c>
      <c r="Z71" s="17"/>
      <c r="AA71" s="17">
        <v>506334</v>
      </c>
      <c r="AB71" s="17"/>
      <c r="AC71" s="65">
        <f t="shared" ref="AC71:AC130" si="4">SUM(S71:AA71)</f>
        <v>645619</v>
      </c>
      <c r="AD71" s="13"/>
      <c r="AE71" s="3">
        <f t="shared" si="0"/>
        <v>0</v>
      </c>
    </row>
    <row r="72" spans="1:31" hidden="1">
      <c r="A72" s="3" t="s">
        <v>335</v>
      </c>
      <c r="B72" s="3"/>
      <c r="C72" s="3" t="s">
        <v>264</v>
      </c>
      <c r="E72" s="3">
        <v>0</v>
      </c>
      <c r="F72" s="3"/>
      <c r="G72" s="3">
        <v>0</v>
      </c>
      <c r="H72" s="3"/>
      <c r="I72" s="7">
        <f>+K72-G72-E72</f>
        <v>0</v>
      </c>
      <c r="J72" s="3"/>
      <c r="K72" s="3">
        <v>0</v>
      </c>
      <c r="L72" s="3"/>
      <c r="M72" s="7">
        <f>+Q72-O72</f>
        <v>0</v>
      </c>
      <c r="N72" s="3"/>
      <c r="O72" s="3">
        <v>0</v>
      </c>
      <c r="P72" s="3"/>
      <c r="Q72" s="3">
        <v>0</v>
      </c>
      <c r="R72" s="3"/>
      <c r="S72" s="3">
        <v>0</v>
      </c>
      <c r="T72" s="3"/>
      <c r="U72" s="3">
        <v>0</v>
      </c>
      <c r="V72" s="3"/>
      <c r="W72" s="3">
        <v>0</v>
      </c>
      <c r="X72" s="3"/>
      <c r="Y72" s="3">
        <v>0</v>
      </c>
      <c r="Z72" s="3"/>
      <c r="AA72" s="3">
        <v>0</v>
      </c>
      <c r="AB72" s="3"/>
      <c r="AC72" s="20">
        <f t="shared" si="4"/>
        <v>0</v>
      </c>
      <c r="AD72" s="13"/>
      <c r="AE72" s="3">
        <f t="shared" si="0"/>
        <v>0</v>
      </c>
    </row>
    <row r="73" spans="1:31">
      <c r="A73" s="13" t="s">
        <v>291</v>
      </c>
      <c r="B73" s="13"/>
      <c r="C73" s="13" t="s">
        <v>152</v>
      </c>
      <c r="E73" s="3">
        <v>2010530</v>
      </c>
      <c r="F73" s="3"/>
      <c r="G73" s="3">
        <v>0</v>
      </c>
      <c r="H73" s="3"/>
      <c r="I73" s="7">
        <f>+K73-G73-E73</f>
        <v>151689</v>
      </c>
      <c r="J73" s="3"/>
      <c r="K73" s="3">
        <v>2162219</v>
      </c>
      <c r="L73" s="3"/>
      <c r="M73" s="7">
        <f>+Q73-O73</f>
        <v>531690</v>
      </c>
      <c r="N73" s="3"/>
      <c r="O73" s="3">
        <v>11358</v>
      </c>
      <c r="P73" s="3"/>
      <c r="Q73" s="3">
        <v>543048</v>
      </c>
      <c r="R73" s="3"/>
      <c r="S73" s="3">
        <v>105987</v>
      </c>
      <c r="T73" s="3"/>
      <c r="U73" s="3">
        <v>0</v>
      </c>
      <c r="V73" s="3"/>
      <c r="W73" s="3">
        <v>16000</v>
      </c>
      <c r="X73" s="3"/>
      <c r="Y73" s="3">
        <v>15421</v>
      </c>
      <c r="Z73" s="3"/>
      <c r="AA73" s="3">
        <v>1481763</v>
      </c>
      <c r="AB73" s="3"/>
      <c r="AC73" s="20">
        <f t="shared" si="4"/>
        <v>1619171</v>
      </c>
      <c r="AD73" s="13"/>
      <c r="AE73" s="55">
        <f t="shared" si="0"/>
        <v>0</v>
      </c>
    </row>
    <row r="74" spans="1:31">
      <c r="A74" s="13" t="s">
        <v>292</v>
      </c>
      <c r="B74" s="13"/>
      <c r="C74" s="13" t="s">
        <v>149</v>
      </c>
      <c r="E74" s="3">
        <v>1312521</v>
      </c>
      <c r="F74" s="3"/>
      <c r="G74" s="3">
        <v>0</v>
      </c>
      <c r="H74" s="3"/>
      <c r="I74" s="7">
        <f t="shared" ref="I74:I130" si="5">+K74-G74-E74</f>
        <v>448781</v>
      </c>
      <c r="J74" s="3"/>
      <c r="K74" s="3">
        <v>1761302</v>
      </c>
      <c r="L74" s="3"/>
      <c r="M74" s="7">
        <f t="shared" ref="M74:M130" si="6">+Q74-O74</f>
        <v>782617</v>
      </c>
      <c r="N74" s="3"/>
      <c r="O74" s="3">
        <v>11656</v>
      </c>
      <c r="P74" s="3"/>
      <c r="Q74" s="3">
        <v>794273</v>
      </c>
      <c r="R74" s="3"/>
      <c r="S74" s="3">
        <v>0</v>
      </c>
      <c r="T74" s="3"/>
      <c r="U74" s="3">
        <v>0</v>
      </c>
      <c r="V74" s="3"/>
      <c r="W74" s="3">
        <v>0</v>
      </c>
      <c r="X74" s="3"/>
      <c r="Y74" s="3">
        <v>226798</v>
      </c>
      <c r="Z74" s="3"/>
      <c r="AA74" s="3">
        <v>740231</v>
      </c>
      <c r="AB74" s="3"/>
      <c r="AC74" s="20">
        <f t="shared" si="4"/>
        <v>967029</v>
      </c>
      <c r="AD74" s="13"/>
      <c r="AE74" s="3">
        <f t="shared" si="0"/>
        <v>0</v>
      </c>
    </row>
    <row r="75" spans="1:31">
      <c r="A75" s="13" t="s">
        <v>293</v>
      </c>
      <c r="B75" s="13"/>
      <c r="C75" s="13" t="s">
        <v>154</v>
      </c>
      <c r="E75" s="3">
        <v>1875604</v>
      </c>
      <c r="F75" s="3"/>
      <c r="G75" s="3">
        <v>433043</v>
      </c>
      <c r="H75" s="3"/>
      <c r="I75" s="7">
        <f t="shared" si="5"/>
        <v>256011</v>
      </c>
      <c r="J75" s="3"/>
      <c r="K75" s="3">
        <v>2564658</v>
      </c>
      <c r="L75" s="3"/>
      <c r="M75" s="7">
        <f t="shared" si="6"/>
        <v>721192</v>
      </c>
      <c r="N75" s="3"/>
      <c r="O75" s="3">
        <v>0</v>
      </c>
      <c r="P75" s="3"/>
      <c r="Q75" s="3">
        <v>721192</v>
      </c>
      <c r="R75" s="3"/>
      <c r="S75" s="3">
        <v>0</v>
      </c>
      <c r="T75" s="3"/>
      <c r="U75" s="3">
        <f>48917+433043</f>
        <v>481960</v>
      </c>
      <c r="V75" s="3"/>
      <c r="W75" s="3">
        <v>0</v>
      </c>
      <c r="X75" s="3"/>
      <c r="Y75" s="3">
        <f>129510+273000+44102</f>
        <v>446612</v>
      </c>
      <c r="Z75" s="3"/>
      <c r="AA75" s="3">
        <v>914894</v>
      </c>
      <c r="AB75" s="3"/>
      <c r="AC75" s="20">
        <f t="shared" si="4"/>
        <v>1843466</v>
      </c>
      <c r="AD75" s="13"/>
      <c r="AE75" s="3">
        <f t="shared" si="0"/>
        <v>0</v>
      </c>
    </row>
    <row r="76" spans="1:31">
      <c r="A76" s="3" t="s">
        <v>155</v>
      </c>
      <c r="B76" s="13"/>
      <c r="C76" s="13" t="s">
        <v>156</v>
      </c>
      <c r="E76" s="3">
        <v>5525646</v>
      </c>
      <c r="F76" s="3"/>
      <c r="G76" s="3">
        <v>0</v>
      </c>
      <c r="H76" s="3"/>
      <c r="I76" s="7">
        <f t="shared" si="5"/>
        <v>1120292</v>
      </c>
      <c r="J76" s="3"/>
      <c r="K76" s="3">
        <v>6645938</v>
      </c>
      <c r="L76" s="3"/>
      <c r="M76" s="7">
        <f t="shared" si="6"/>
        <v>1912743</v>
      </c>
      <c r="N76" s="3"/>
      <c r="O76" s="3">
        <v>118299</v>
      </c>
      <c r="P76" s="3"/>
      <c r="Q76" s="3">
        <v>2031042</v>
      </c>
      <c r="R76" s="3"/>
      <c r="S76" s="3">
        <v>0</v>
      </c>
      <c r="T76" s="3"/>
      <c r="U76" s="3">
        <v>0</v>
      </c>
      <c r="V76" s="3"/>
      <c r="W76" s="3">
        <v>0</v>
      </c>
      <c r="X76" s="3"/>
      <c r="Y76" s="3">
        <v>46564</v>
      </c>
      <c r="Z76" s="3"/>
      <c r="AA76" s="3">
        <v>4568332</v>
      </c>
      <c r="AB76" s="3"/>
      <c r="AC76" s="20">
        <f t="shared" si="4"/>
        <v>4614896</v>
      </c>
      <c r="AD76" s="13"/>
      <c r="AE76" s="3">
        <f t="shared" si="0"/>
        <v>0</v>
      </c>
    </row>
    <row r="77" spans="1:31" hidden="1">
      <c r="A77" s="13" t="s">
        <v>281</v>
      </c>
      <c r="B77" s="13"/>
      <c r="C77" s="13" t="s">
        <v>157</v>
      </c>
      <c r="E77" s="3">
        <v>0</v>
      </c>
      <c r="F77" s="3"/>
      <c r="G77" s="3">
        <v>0</v>
      </c>
      <c r="H77" s="3"/>
      <c r="I77" s="7">
        <f t="shared" si="5"/>
        <v>0</v>
      </c>
      <c r="J77" s="3"/>
      <c r="K77" s="3">
        <v>0</v>
      </c>
      <c r="L77" s="3"/>
      <c r="M77" s="7">
        <f t="shared" si="6"/>
        <v>0</v>
      </c>
      <c r="N77" s="3"/>
      <c r="O77" s="3">
        <v>0</v>
      </c>
      <c r="P77" s="3"/>
      <c r="Q77" s="3">
        <v>0</v>
      </c>
      <c r="R77" s="3"/>
      <c r="S77" s="3">
        <v>0</v>
      </c>
      <c r="T77" s="3"/>
      <c r="U77" s="3">
        <v>0</v>
      </c>
      <c r="V77" s="3"/>
      <c r="W77" s="3">
        <v>0</v>
      </c>
      <c r="X77" s="3"/>
      <c r="Y77" s="3">
        <v>0</v>
      </c>
      <c r="Z77" s="3"/>
      <c r="AA77" s="3">
        <v>0</v>
      </c>
      <c r="AB77" s="3"/>
      <c r="AC77" s="20">
        <f t="shared" si="4"/>
        <v>0</v>
      </c>
      <c r="AD77" s="13"/>
      <c r="AE77" s="3">
        <f t="shared" si="0"/>
        <v>0</v>
      </c>
    </row>
    <row r="78" spans="1:31">
      <c r="A78" s="13" t="s">
        <v>310</v>
      </c>
      <c r="B78" s="13"/>
      <c r="C78" s="13" t="s">
        <v>158</v>
      </c>
      <c r="E78" s="3">
        <v>1030925</v>
      </c>
      <c r="F78" s="3"/>
      <c r="G78" s="3">
        <v>0</v>
      </c>
      <c r="H78" s="3"/>
      <c r="I78" s="7">
        <f t="shared" si="5"/>
        <v>277056</v>
      </c>
      <c r="J78" s="3"/>
      <c r="K78" s="3">
        <v>1307981</v>
      </c>
      <c r="L78" s="3"/>
      <c r="M78" s="7">
        <f t="shared" si="6"/>
        <v>730517</v>
      </c>
      <c r="N78" s="3"/>
      <c r="O78" s="3">
        <f>117773+125</f>
        <v>117898</v>
      </c>
      <c r="P78" s="3"/>
      <c r="Q78" s="3">
        <v>848415</v>
      </c>
      <c r="R78" s="3"/>
      <c r="S78" s="3">
        <f>1203+2622</f>
        <v>3825</v>
      </c>
      <c r="T78" s="3"/>
      <c r="U78" s="3">
        <v>0</v>
      </c>
      <c r="V78" s="3"/>
      <c r="W78" s="3">
        <v>0</v>
      </c>
      <c r="X78" s="3"/>
      <c r="Y78" s="3">
        <f>11107+186598+911</f>
        <v>198616</v>
      </c>
      <c r="Z78" s="3"/>
      <c r="AA78" s="3">
        <v>257125</v>
      </c>
      <c r="AB78" s="3"/>
      <c r="AC78" s="20">
        <f t="shared" si="4"/>
        <v>459566</v>
      </c>
      <c r="AD78" s="13"/>
      <c r="AE78" s="3">
        <f t="shared" si="0"/>
        <v>0</v>
      </c>
    </row>
    <row r="79" spans="1:31">
      <c r="A79" s="3" t="s">
        <v>312</v>
      </c>
      <c r="B79" s="13"/>
      <c r="C79" s="13" t="s">
        <v>159</v>
      </c>
      <c r="E79" s="3">
        <v>19597832</v>
      </c>
      <c r="F79" s="3"/>
      <c r="G79" s="3">
        <v>70923</v>
      </c>
      <c r="H79" s="3"/>
      <c r="I79" s="7">
        <f t="shared" si="5"/>
        <v>8675078</v>
      </c>
      <c r="J79" s="3"/>
      <c r="K79" s="3">
        <v>28343833</v>
      </c>
      <c r="L79" s="3"/>
      <c r="M79" s="7">
        <f t="shared" si="6"/>
        <v>5034905</v>
      </c>
      <c r="N79" s="3"/>
      <c r="O79" s="3">
        <v>705876</v>
      </c>
      <c r="P79" s="3"/>
      <c r="Q79" s="3">
        <v>5740781</v>
      </c>
      <c r="R79" s="3"/>
      <c r="S79" s="3">
        <v>70923</v>
      </c>
      <c r="T79" s="3"/>
      <c r="U79" s="3">
        <v>0</v>
      </c>
      <c r="V79" s="3"/>
      <c r="W79" s="3">
        <v>0</v>
      </c>
      <c r="X79" s="3"/>
      <c r="Y79" s="3">
        <v>6071866</v>
      </c>
      <c r="Z79" s="3"/>
      <c r="AA79" s="3">
        <v>16460263</v>
      </c>
      <c r="AB79" s="3"/>
      <c r="AC79" s="20">
        <f t="shared" si="4"/>
        <v>22603052</v>
      </c>
      <c r="AD79" s="13"/>
      <c r="AE79" s="3">
        <f t="shared" si="0"/>
        <v>0</v>
      </c>
    </row>
    <row r="80" spans="1:31" hidden="1">
      <c r="A80" s="3" t="s">
        <v>315</v>
      </c>
      <c r="B80" s="13"/>
      <c r="C80" s="13" t="s">
        <v>160</v>
      </c>
      <c r="E80" s="3">
        <v>0</v>
      </c>
      <c r="F80" s="3"/>
      <c r="G80" s="3">
        <v>0</v>
      </c>
      <c r="H80" s="3"/>
      <c r="I80" s="7">
        <f>+K80-G80-E80</f>
        <v>0</v>
      </c>
      <c r="J80" s="3"/>
      <c r="K80" s="3">
        <v>0</v>
      </c>
      <c r="L80" s="3"/>
      <c r="M80" s="7">
        <f>+Q80-O80</f>
        <v>0</v>
      </c>
      <c r="N80" s="3"/>
      <c r="O80" s="3">
        <v>0</v>
      </c>
      <c r="P80" s="3"/>
      <c r="Q80" s="3">
        <v>0</v>
      </c>
      <c r="R80" s="3"/>
      <c r="S80" s="3">
        <v>0</v>
      </c>
      <c r="T80" s="3"/>
      <c r="U80" s="3">
        <v>0</v>
      </c>
      <c r="V80" s="3"/>
      <c r="W80" s="3">
        <v>0</v>
      </c>
      <c r="X80" s="3"/>
      <c r="Y80" s="3">
        <v>0</v>
      </c>
      <c r="Z80" s="3"/>
      <c r="AA80" s="3">
        <v>0</v>
      </c>
      <c r="AB80" s="3"/>
      <c r="AC80" s="20">
        <f t="shared" si="4"/>
        <v>0</v>
      </c>
      <c r="AD80" s="13"/>
      <c r="AE80" s="3">
        <f t="shared" ref="AE80:AE130" si="7">+E80+G80+I80-M80-O80-Y80-W80-S80-U80-AA80</f>
        <v>0</v>
      </c>
    </row>
    <row r="81" spans="1:31" hidden="1">
      <c r="A81" s="3" t="s">
        <v>311</v>
      </c>
      <c r="B81" s="13"/>
      <c r="C81" s="13" t="s">
        <v>161</v>
      </c>
      <c r="E81" s="3">
        <v>0</v>
      </c>
      <c r="F81" s="3"/>
      <c r="G81" s="3">
        <v>0</v>
      </c>
      <c r="H81" s="3"/>
      <c r="I81" s="7">
        <f t="shared" si="5"/>
        <v>0</v>
      </c>
      <c r="J81" s="3"/>
      <c r="K81" s="3">
        <v>0</v>
      </c>
      <c r="L81" s="3"/>
      <c r="M81" s="7">
        <f t="shared" si="6"/>
        <v>0</v>
      </c>
      <c r="N81" s="3"/>
      <c r="O81" s="3">
        <v>0</v>
      </c>
      <c r="P81" s="3"/>
      <c r="Q81" s="3">
        <v>0</v>
      </c>
      <c r="R81" s="3"/>
      <c r="S81" s="3">
        <v>0</v>
      </c>
      <c r="T81" s="3"/>
      <c r="U81" s="3">
        <v>0</v>
      </c>
      <c r="V81" s="3"/>
      <c r="W81" s="3">
        <v>0</v>
      </c>
      <c r="X81" s="3"/>
      <c r="Y81" s="3">
        <v>0</v>
      </c>
      <c r="Z81" s="3"/>
      <c r="AA81" s="3">
        <v>0</v>
      </c>
      <c r="AB81" s="3"/>
      <c r="AC81" s="20">
        <f t="shared" si="4"/>
        <v>0</v>
      </c>
      <c r="AD81" s="13"/>
      <c r="AE81" s="3">
        <f t="shared" si="7"/>
        <v>0</v>
      </c>
    </row>
    <row r="82" spans="1:31">
      <c r="A82" s="3" t="s">
        <v>309</v>
      </c>
      <c r="B82" s="13"/>
      <c r="C82" s="3" t="s">
        <v>200</v>
      </c>
      <c r="E82" s="3">
        <v>1703174</v>
      </c>
      <c r="F82" s="3"/>
      <c r="G82" s="3">
        <v>0</v>
      </c>
      <c r="H82" s="3"/>
      <c r="I82" s="7">
        <f t="shared" si="5"/>
        <v>568504</v>
      </c>
      <c r="J82" s="3"/>
      <c r="K82" s="3">
        <v>2271678</v>
      </c>
      <c r="L82" s="3"/>
      <c r="M82" s="7">
        <f t="shared" si="6"/>
        <v>908913</v>
      </c>
      <c r="N82" s="3"/>
      <c r="O82" s="3">
        <v>331291</v>
      </c>
      <c r="P82" s="3"/>
      <c r="Q82" s="3">
        <v>1240204</v>
      </c>
      <c r="R82" s="3"/>
      <c r="S82" s="3">
        <v>0</v>
      </c>
      <c r="T82" s="3"/>
      <c r="U82" s="3">
        <v>0</v>
      </c>
      <c r="V82" s="3"/>
      <c r="W82" s="3">
        <v>0</v>
      </c>
      <c r="X82" s="3"/>
      <c r="Y82" s="3">
        <v>0</v>
      </c>
      <c r="Z82" s="3"/>
      <c r="AA82" s="3">
        <v>1031474</v>
      </c>
      <c r="AB82" s="3"/>
      <c r="AC82" s="20">
        <f t="shared" si="4"/>
        <v>1031474</v>
      </c>
      <c r="AD82" s="13"/>
      <c r="AE82" s="3">
        <f t="shared" si="7"/>
        <v>0</v>
      </c>
    </row>
    <row r="83" spans="1:31">
      <c r="A83" s="3" t="s">
        <v>318</v>
      </c>
      <c r="B83" s="13"/>
      <c r="C83" s="13" t="s">
        <v>164</v>
      </c>
      <c r="E83" s="3">
        <v>11575149</v>
      </c>
      <c r="F83" s="3"/>
      <c r="G83" s="3">
        <v>0</v>
      </c>
      <c r="H83" s="3"/>
      <c r="I83" s="7">
        <f>+K83-G83-E83</f>
        <v>6257571</v>
      </c>
      <c r="J83" s="3"/>
      <c r="K83" s="3">
        <v>17832720</v>
      </c>
      <c r="L83" s="3"/>
      <c r="M83" s="7">
        <f>+Q83-O83</f>
        <v>3924865</v>
      </c>
      <c r="N83" s="3"/>
      <c r="O83" s="3">
        <f>234186+1604696</f>
        <v>1838882</v>
      </c>
      <c r="P83" s="3"/>
      <c r="Q83" s="3">
        <v>5763747</v>
      </c>
      <c r="R83" s="3"/>
      <c r="S83" s="3">
        <f>61325+4889</f>
        <v>66214</v>
      </c>
      <c r="T83" s="3"/>
      <c r="U83" s="3">
        <v>0</v>
      </c>
      <c r="V83" s="3"/>
      <c r="W83" s="3">
        <v>0</v>
      </c>
      <c r="X83" s="3"/>
      <c r="Y83" s="3">
        <f>66924+756542</f>
        <v>823466</v>
      </c>
      <c r="Z83" s="3"/>
      <c r="AA83" s="3">
        <v>11179293</v>
      </c>
      <c r="AB83" s="3"/>
      <c r="AC83" s="20">
        <f>SUM(S83:AA83)</f>
        <v>12068973</v>
      </c>
      <c r="AD83" s="13"/>
      <c r="AE83" s="3">
        <f>+E83+G83+I83-M83-O83-Y83-W83-S83-U83-AA83</f>
        <v>0</v>
      </c>
    </row>
    <row r="84" spans="1:31" hidden="1">
      <c r="A84" s="13" t="s">
        <v>279</v>
      </c>
      <c r="B84" s="13"/>
      <c r="C84" s="13" t="s">
        <v>162</v>
      </c>
      <c r="E84" s="3">
        <v>0</v>
      </c>
      <c r="F84" s="3"/>
      <c r="G84" s="3">
        <v>0</v>
      </c>
      <c r="H84" s="3"/>
      <c r="I84" s="7">
        <f t="shared" si="5"/>
        <v>0</v>
      </c>
      <c r="J84" s="3"/>
      <c r="K84" s="3">
        <v>0</v>
      </c>
      <c r="L84" s="3"/>
      <c r="M84" s="7">
        <f t="shared" si="6"/>
        <v>0</v>
      </c>
      <c r="N84" s="3"/>
      <c r="O84" s="3">
        <v>0</v>
      </c>
      <c r="P84" s="3"/>
      <c r="Q84" s="3">
        <v>0</v>
      </c>
      <c r="R84" s="3"/>
      <c r="S84" s="3">
        <v>0</v>
      </c>
      <c r="T84" s="3"/>
      <c r="U84" s="3">
        <v>0</v>
      </c>
      <c r="V84" s="3"/>
      <c r="W84" s="3">
        <v>0</v>
      </c>
      <c r="X84" s="3"/>
      <c r="Y84" s="3">
        <v>0</v>
      </c>
      <c r="Z84" s="3"/>
      <c r="AA84" s="3">
        <v>0</v>
      </c>
      <c r="AB84" s="3"/>
      <c r="AC84" s="20">
        <f t="shared" si="4"/>
        <v>0</v>
      </c>
      <c r="AD84" s="13"/>
      <c r="AE84" s="3">
        <f t="shared" si="7"/>
        <v>0</v>
      </c>
    </row>
    <row r="85" spans="1:31">
      <c r="A85" s="3" t="s">
        <v>320</v>
      </c>
      <c r="B85" s="13"/>
      <c r="C85" s="13" t="s">
        <v>163</v>
      </c>
      <c r="E85" s="3">
        <v>1412114</v>
      </c>
      <c r="F85" s="3"/>
      <c r="G85" s="3">
        <v>0</v>
      </c>
      <c r="H85" s="3"/>
      <c r="I85" s="7">
        <f t="shared" si="5"/>
        <v>698641</v>
      </c>
      <c r="J85" s="3"/>
      <c r="K85" s="3">
        <v>2110755</v>
      </c>
      <c r="L85" s="3"/>
      <c r="M85" s="7">
        <f t="shared" si="6"/>
        <v>1057594</v>
      </c>
      <c r="N85" s="3"/>
      <c r="O85" s="3">
        <v>0</v>
      </c>
      <c r="P85" s="3"/>
      <c r="Q85" s="3">
        <v>1057594</v>
      </c>
      <c r="R85" s="3"/>
      <c r="S85" s="3">
        <v>5124</v>
      </c>
      <c r="T85" s="3"/>
      <c r="U85" s="3">
        <v>0</v>
      </c>
      <c r="V85" s="3"/>
      <c r="W85" s="3">
        <v>0</v>
      </c>
      <c r="X85" s="3"/>
      <c r="Y85" s="3">
        <v>23453</v>
      </c>
      <c r="Z85" s="3"/>
      <c r="AA85" s="3">
        <v>1024584</v>
      </c>
      <c r="AB85" s="3"/>
      <c r="AC85" s="20">
        <f t="shared" si="4"/>
        <v>1053161</v>
      </c>
      <c r="AD85" s="13"/>
      <c r="AE85" s="3">
        <f t="shared" si="7"/>
        <v>0</v>
      </c>
    </row>
    <row r="86" spans="1:31">
      <c r="A86" s="3" t="s">
        <v>166</v>
      </c>
      <c r="B86" s="13"/>
      <c r="C86" s="13" t="s">
        <v>167</v>
      </c>
      <c r="E86" s="3">
        <v>1063571</v>
      </c>
      <c r="F86" s="3"/>
      <c r="G86" s="3">
        <v>0</v>
      </c>
      <c r="H86" s="3"/>
      <c r="I86" s="7">
        <f t="shared" si="5"/>
        <v>75201</v>
      </c>
      <c r="J86" s="3"/>
      <c r="K86" s="3">
        <v>1138772</v>
      </c>
      <c r="L86" s="3"/>
      <c r="M86" s="7">
        <f t="shared" si="6"/>
        <v>65671</v>
      </c>
      <c r="N86" s="3"/>
      <c r="O86" s="3">
        <v>0</v>
      </c>
      <c r="P86" s="3"/>
      <c r="Q86" s="3">
        <v>65671</v>
      </c>
      <c r="R86" s="3"/>
      <c r="S86" s="3">
        <v>0</v>
      </c>
      <c r="T86" s="3"/>
      <c r="U86" s="3">
        <v>0</v>
      </c>
      <c r="V86" s="3"/>
      <c r="W86" s="3">
        <v>0</v>
      </c>
      <c r="X86" s="3"/>
      <c r="Y86" s="3">
        <v>0</v>
      </c>
      <c r="Z86" s="3"/>
      <c r="AA86" s="3">
        <v>1073101</v>
      </c>
      <c r="AB86" s="3"/>
      <c r="AC86" s="20">
        <f t="shared" si="4"/>
        <v>1073101</v>
      </c>
      <c r="AD86" s="13"/>
      <c r="AE86" s="3">
        <f t="shared" si="7"/>
        <v>0</v>
      </c>
    </row>
    <row r="87" spans="1:31">
      <c r="A87" s="61" t="s">
        <v>319</v>
      </c>
      <c r="B87" s="13"/>
      <c r="C87" s="13" t="s">
        <v>168</v>
      </c>
      <c r="E87" s="3">
        <v>2077353</v>
      </c>
      <c r="F87" s="3"/>
      <c r="G87" s="3">
        <v>0</v>
      </c>
      <c r="H87" s="3"/>
      <c r="I87" s="7">
        <f t="shared" si="5"/>
        <v>285146</v>
      </c>
      <c r="J87" s="3"/>
      <c r="K87" s="3">
        <v>2362499</v>
      </c>
      <c r="L87" s="3"/>
      <c r="M87" s="7">
        <f t="shared" si="6"/>
        <v>1102918</v>
      </c>
      <c r="N87" s="3"/>
      <c r="O87" s="3">
        <v>61946</v>
      </c>
      <c r="P87" s="3"/>
      <c r="Q87" s="3">
        <v>1164864</v>
      </c>
      <c r="R87" s="3"/>
      <c r="S87" s="3">
        <v>0</v>
      </c>
      <c r="T87" s="3"/>
      <c r="U87" s="3">
        <v>0</v>
      </c>
      <c r="V87" s="3"/>
      <c r="W87" s="3">
        <v>0</v>
      </c>
      <c r="X87" s="3"/>
      <c r="Y87" s="3">
        <v>8565</v>
      </c>
      <c r="Z87" s="3"/>
      <c r="AA87" s="3">
        <v>1189070</v>
      </c>
      <c r="AB87" s="3"/>
      <c r="AC87" s="20">
        <f t="shared" si="4"/>
        <v>1197635</v>
      </c>
      <c r="AD87" s="13"/>
      <c r="AE87" s="3">
        <f t="shared" si="7"/>
        <v>0</v>
      </c>
    </row>
    <row r="88" spans="1:31">
      <c r="A88" s="13" t="s">
        <v>296</v>
      </c>
      <c r="B88" s="13"/>
      <c r="C88" s="13" t="s">
        <v>169</v>
      </c>
      <c r="E88" s="3">
        <v>2930736</v>
      </c>
      <c r="F88" s="3"/>
      <c r="G88" s="3">
        <v>0</v>
      </c>
      <c r="H88" s="3"/>
      <c r="I88" s="7">
        <f t="shared" si="5"/>
        <v>121608</v>
      </c>
      <c r="J88" s="3"/>
      <c r="K88" s="3">
        <v>3052344</v>
      </c>
      <c r="L88" s="3"/>
      <c r="M88" s="7">
        <f t="shared" si="6"/>
        <v>1640953</v>
      </c>
      <c r="N88" s="3"/>
      <c r="O88" s="3">
        <v>4215</v>
      </c>
      <c r="P88" s="3"/>
      <c r="Q88" s="3">
        <v>1645168</v>
      </c>
      <c r="R88" s="3"/>
      <c r="S88" s="3">
        <v>7293</v>
      </c>
      <c r="T88" s="3"/>
      <c r="U88" s="3">
        <v>0</v>
      </c>
      <c r="V88" s="3"/>
      <c r="W88" s="3">
        <v>0</v>
      </c>
      <c r="X88" s="3"/>
      <c r="Y88" s="3">
        <v>23338</v>
      </c>
      <c r="Z88" s="3"/>
      <c r="AA88" s="3">
        <v>1376545</v>
      </c>
      <c r="AB88" s="3"/>
      <c r="AC88" s="20">
        <f t="shared" si="4"/>
        <v>1407176</v>
      </c>
      <c r="AD88" s="13"/>
      <c r="AE88" s="3">
        <f t="shared" si="7"/>
        <v>0</v>
      </c>
    </row>
    <row r="89" spans="1:31">
      <c r="A89" s="13" t="s">
        <v>297</v>
      </c>
      <c r="B89" s="13"/>
      <c r="C89" s="13" t="s">
        <v>170</v>
      </c>
      <c r="E89" s="3">
        <v>7212710</v>
      </c>
      <c r="F89" s="3"/>
      <c r="G89" s="3">
        <v>0</v>
      </c>
      <c r="H89" s="3"/>
      <c r="I89" s="7">
        <f t="shared" si="5"/>
        <v>3875938</v>
      </c>
      <c r="J89" s="3"/>
      <c r="K89" s="3">
        <v>11088648</v>
      </c>
      <c r="L89" s="3"/>
      <c r="M89" s="7">
        <f t="shared" si="6"/>
        <v>4729554</v>
      </c>
      <c r="N89" s="3"/>
      <c r="O89" s="3">
        <v>198394</v>
      </c>
      <c r="P89" s="3"/>
      <c r="Q89" s="3">
        <v>4927948</v>
      </c>
      <c r="R89" s="3"/>
      <c r="S89" s="3">
        <v>7653</v>
      </c>
      <c r="T89" s="3"/>
      <c r="U89" s="3">
        <v>0</v>
      </c>
      <c r="V89" s="3"/>
      <c r="W89" s="3">
        <v>300000</v>
      </c>
      <c r="X89" s="3"/>
      <c r="Y89" s="3">
        <v>20496</v>
      </c>
      <c r="Z89" s="3"/>
      <c r="AA89" s="3">
        <v>5832551</v>
      </c>
      <c r="AB89" s="3"/>
      <c r="AC89" s="20">
        <f t="shared" si="4"/>
        <v>6160700</v>
      </c>
      <c r="AD89" s="13"/>
      <c r="AE89" s="3">
        <f t="shared" si="7"/>
        <v>0</v>
      </c>
    </row>
    <row r="90" spans="1:31">
      <c r="A90" s="13" t="s">
        <v>298</v>
      </c>
      <c r="B90" s="13"/>
      <c r="C90" s="13" t="s">
        <v>171</v>
      </c>
      <c r="E90" s="3">
        <v>1021845</v>
      </c>
      <c r="F90" s="3"/>
      <c r="G90" s="3">
        <v>1245</v>
      </c>
      <c r="H90" s="3"/>
      <c r="I90" s="7">
        <f t="shared" si="5"/>
        <v>29397</v>
      </c>
      <c r="J90" s="3"/>
      <c r="K90" s="3">
        <v>1052487</v>
      </c>
      <c r="L90" s="3"/>
      <c r="M90" s="7">
        <f t="shared" si="6"/>
        <v>658538</v>
      </c>
      <c r="N90" s="3"/>
      <c r="O90" s="3">
        <v>0</v>
      </c>
      <c r="P90" s="3"/>
      <c r="Q90" s="3">
        <v>658538</v>
      </c>
      <c r="R90" s="3"/>
      <c r="S90" s="3">
        <v>5664</v>
      </c>
      <c r="T90" s="3"/>
      <c r="U90" s="3">
        <v>0</v>
      </c>
      <c r="V90" s="3"/>
      <c r="W90" s="3">
        <v>0</v>
      </c>
      <c r="X90" s="3"/>
      <c r="Y90" s="3">
        <v>12849</v>
      </c>
      <c r="Z90" s="3"/>
      <c r="AA90" s="3">
        <v>375436</v>
      </c>
      <c r="AB90" s="3"/>
      <c r="AC90" s="20">
        <f t="shared" si="4"/>
        <v>393949</v>
      </c>
      <c r="AD90" s="13"/>
      <c r="AE90" s="3">
        <f t="shared" si="7"/>
        <v>0</v>
      </c>
    </row>
    <row r="91" spans="1:31" hidden="1">
      <c r="A91" s="13" t="s">
        <v>357</v>
      </c>
      <c r="B91" s="13"/>
      <c r="C91" s="13" t="s">
        <v>21</v>
      </c>
      <c r="E91" s="3">
        <v>0</v>
      </c>
      <c r="F91" s="3"/>
      <c r="G91" s="3">
        <v>0</v>
      </c>
      <c r="H91" s="3"/>
      <c r="I91" s="7">
        <f t="shared" si="5"/>
        <v>0</v>
      </c>
      <c r="J91" s="3"/>
      <c r="K91" s="3">
        <v>0</v>
      </c>
      <c r="L91" s="3"/>
      <c r="M91" s="7">
        <f t="shared" si="6"/>
        <v>0</v>
      </c>
      <c r="N91" s="3"/>
      <c r="O91" s="3">
        <v>0</v>
      </c>
      <c r="P91" s="3"/>
      <c r="Q91" s="3">
        <v>0</v>
      </c>
      <c r="R91" s="3"/>
      <c r="S91" s="3">
        <v>0</v>
      </c>
      <c r="T91" s="3"/>
      <c r="U91" s="3">
        <v>0</v>
      </c>
      <c r="V91" s="3"/>
      <c r="W91" s="3">
        <v>0</v>
      </c>
      <c r="X91" s="3"/>
      <c r="Y91" s="3">
        <v>0</v>
      </c>
      <c r="Z91" s="3"/>
      <c r="AA91" s="3">
        <v>0</v>
      </c>
      <c r="AB91" s="3"/>
      <c r="AC91" s="20">
        <f t="shared" si="4"/>
        <v>0</v>
      </c>
      <c r="AD91" s="13"/>
      <c r="AE91" s="3">
        <f t="shared" si="7"/>
        <v>0</v>
      </c>
    </row>
    <row r="92" spans="1:31">
      <c r="A92" s="13" t="s">
        <v>299</v>
      </c>
      <c r="B92" s="13"/>
      <c r="C92" s="13" t="s">
        <v>172</v>
      </c>
      <c r="E92" s="3">
        <v>2861956</v>
      </c>
      <c r="F92" s="3"/>
      <c r="G92" s="3">
        <v>0</v>
      </c>
      <c r="H92" s="3"/>
      <c r="I92" s="7">
        <f t="shared" si="5"/>
        <v>148161</v>
      </c>
      <c r="J92" s="3"/>
      <c r="K92" s="3">
        <v>3010117</v>
      </c>
      <c r="L92" s="3"/>
      <c r="M92" s="7">
        <f t="shared" si="6"/>
        <v>522300</v>
      </c>
      <c r="N92" s="3"/>
      <c r="O92" s="3">
        <v>17176</v>
      </c>
      <c r="P92" s="3"/>
      <c r="Q92" s="3">
        <v>539476</v>
      </c>
      <c r="R92" s="3"/>
      <c r="S92" s="3">
        <f>1096+56106</f>
        <v>57202</v>
      </c>
      <c r="T92" s="3"/>
      <c r="U92" s="3">
        <v>0</v>
      </c>
      <c r="V92" s="3"/>
      <c r="W92" s="3">
        <v>0</v>
      </c>
      <c r="X92" s="3"/>
      <c r="Y92" s="3">
        <f>231+2066+293</f>
        <v>2590</v>
      </c>
      <c r="Z92" s="3"/>
      <c r="AA92" s="3">
        <v>2410849</v>
      </c>
      <c r="AB92" s="3"/>
      <c r="AC92" s="20">
        <f t="shared" si="4"/>
        <v>2470641</v>
      </c>
      <c r="AD92" s="13"/>
      <c r="AE92" s="3">
        <f t="shared" si="7"/>
        <v>0</v>
      </c>
    </row>
    <row r="93" spans="1:31">
      <c r="A93" s="13" t="s">
        <v>300</v>
      </c>
      <c r="B93" s="13"/>
      <c r="C93" s="13" t="s">
        <v>173</v>
      </c>
      <c r="E93" s="3">
        <v>15365</v>
      </c>
      <c r="F93" s="3"/>
      <c r="G93" s="3">
        <v>0</v>
      </c>
      <c r="H93" s="3"/>
      <c r="I93" s="7">
        <f t="shared" si="5"/>
        <v>311713</v>
      </c>
      <c r="J93" s="3"/>
      <c r="K93" s="3">
        <v>327078</v>
      </c>
      <c r="L93" s="3"/>
      <c r="M93" s="7">
        <f t="shared" si="6"/>
        <v>429866</v>
      </c>
      <c r="N93" s="3"/>
      <c r="O93" s="3">
        <v>288118</v>
      </c>
      <c r="P93" s="3"/>
      <c r="Q93" s="3">
        <v>717984</v>
      </c>
      <c r="R93" s="3"/>
      <c r="S93" s="3">
        <v>0</v>
      </c>
      <c r="T93" s="3"/>
      <c r="U93" s="3">
        <v>0</v>
      </c>
      <c r="V93" s="3"/>
      <c r="W93" s="3">
        <v>0</v>
      </c>
      <c r="X93" s="3"/>
      <c r="Y93" s="3">
        <v>0</v>
      </c>
      <c r="Z93" s="3"/>
      <c r="AA93" s="3">
        <v>-390906</v>
      </c>
      <c r="AB93" s="3"/>
      <c r="AC93" s="20">
        <f t="shared" si="4"/>
        <v>-390906</v>
      </c>
      <c r="AD93" s="13"/>
      <c r="AE93" s="3">
        <f t="shared" si="7"/>
        <v>0</v>
      </c>
    </row>
    <row r="94" spans="1:31">
      <c r="A94" s="13" t="s">
        <v>301</v>
      </c>
      <c r="B94" s="13"/>
      <c r="C94" s="13" t="s">
        <v>148</v>
      </c>
      <c r="E94" s="3">
        <v>1631941</v>
      </c>
      <c r="F94" s="3"/>
      <c r="G94" s="3">
        <v>3715</v>
      </c>
      <c r="H94" s="3"/>
      <c r="I94" s="7">
        <f t="shared" si="5"/>
        <v>749106</v>
      </c>
      <c r="J94" s="3"/>
      <c r="K94" s="3">
        <v>2384762</v>
      </c>
      <c r="L94" s="3"/>
      <c r="M94" s="7">
        <f t="shared" si="6"/>
        <v>1232110</v>
      </c>
      <c r="N94" s="3"/>
      <c r="O94" s="3">
        <v>0</v>
      </c>
      <c r="P94" s="3"/>
      <c r="Q94" s="3">
        <v>1232110</v>
      </c>
      <c r="R94" s="3"/>
      <c r="S94" s="3">
        <v>3715</v>
      </c>
      <c r="T94" s="3"/>
      <c r="U94" s="3">
        <v>0</v>
      </c>
      <c r="V94" s="3"/>
      <c r="W94" s="3">
        <v>0</v>
      </c>
      <c r="X94" s="3"/>
      <c r="Y94" s="3">
        <v>97751</v>
      </c>
      <c r="Z94" s="3"/>
      <c r="AA94" s="3">
        <v>1051186</v>
      </c>
      <c r="AB94" s="3"/>
      <c r="AC94" s="20">
        <f t="shared" si="4"/>
        <v>1152652</v>
      </c>
      <c r="AD94" s="13"/>
      <c r="AE94" s="3">
        <f t="shared" si="7"/>
        <v>0</v>
      </c>
    </row>
    <row r="95" spans="1:31">
      <c r="A95" s="13" t="s">
        <v>302</v>
      </c>
      <c r="B95" s="13"/>
      <c r="C95" s="13" t="s">
        <v>174</v>
      </c>
      <c r="E95" s="3">
        <v>950183</v>
      </c>
      <c r="F95" s="3"/>
      <c r="G95" s="3">
        <v>0</v>
      </c>
      <c r="H95" s="3"/>
      <c r="I95" s="7">
        <f t="shared" si="5"/>
        <v>68144</v>
      </c>
      <c r="J95" s="3"/>
      <c r="K95" s="3">
        <v>1018327</v>
      </c>
      <c r="L95" s="3"/>
      <c r="M95" s="7">
        <f t="shared" si="6"/>
        <v>97180</v>
      </c>
      <c r="N95" s="3"/>
      <c r="O95" s="3">
        <v>0</v>
      </c>
      <c r="P95" s="3"/>
      <c r="Q95" s="3">
        <v>97180</v>
      </c>
      <c r="R95" s="3"/>
      <c r="S95" s="3">
        <v>0</v>
      </c>
      <c r="T95" s="3"/>
      <c r="U95" s="3">
        <v>0</v>
      </c>
      <c r="V95" s="3"/>
      <c r="W95" s="3">
        <v>0</v>
      </c>
      <c r="X95" s="3"/>
      <c r="Y95" s="3">
        <v>54146</v>
      </c>
      <c r="Z95" s="3"/>
      <c r="AA95" s="3">
        <v>867001</v>
      </c>
      <c r="AB95" s="3"/>
      <c r="AC95" s="20">
        <f t="shared" si="4"/>
        <v>921147</v>
      </c>
      <c r="AD95" s="13"/>
      <c r="AE95" s="3">
        <f t="shared" si="7"/>
        <v>0</v>
      </c>
    </row>
    <row r="96" spans="1:31">
      <c r="A96" s="3" t="s">
        <v>303</v>
      </c>
      <c r="B96" s="3"/>
      <c r="C96" s="3" t="s">
        <v>175</v>
      </c>
      <c r="E96" s="3">
        <v>549319</v>
      </c>
      <c r="F96" s="3"/>
      <c r="G96" s="3">
        <v>0</v>
      </c>
      <c r="H96" s="3"/>
      <c r="I96" s="7">
        <f>+K96-G96-E96</f>
        <v>889901</v>
      </c>
      <c r="J96" s="3"/>
      <c r="K96" s="3">
        <v>1439220</v>
      </c>
      <c r="L96" s="3"/>
      <c r="M96" s="7">
        <f>+Q96-O96</f>
        <v>1077126</v>
      </c>
      <c r="N96" s="3"/>
      <c r="O96" s="3">
        <v>815191</v>
      </c>
      <c r="P96" s="3"/>
      <c r="Q96" s="3">
        <v>1892317</v>
      </c>
      <c r="R96" s="3"/>
      <c r="S96" s="3">
        <v>18748</v>
      </c>
      <c r="T96" s="3"/>
      <c r="U96" s="3">
        <v>0</v>
      </c>
      <c r="V96" s="3"/>
      <c r="W96" s="3">
        <v>69549</v>
      </c>
      <c r="X96" s="3"/>
      <c r="Y96" s="3">
        <v>82539</v>
      </c>
      <c r="Z96" s="3"/>
      <c r="AA96" s="3">
        <v>-623933</v>
      </c>
      <c r="AB96" s="3"/>
      <c r="AC96" s="20">
        <f t="shared" si="4"/>
        <v>-453097</v>
      </c>
      <c r="AD96" s="13"/>
      <c r="AE96" s="3">
        <f t="shared" si="7"/>
        <v>0</v>
      </c>
    </row>
    <row r="97" spans="1:31">
      <c r="A97" s="13" t="s">
        <v>304</v>
      </c>
      <c r="B97" s="13"/>
      <c r="C97" s="13" t="s">
        <v>176</v>
      </c>
      <c r="E97" s="3">
        <v>552823</v>
      </c>
      <c r="F97" s="3"/>
      <c r="G97" s="3">
        <v>0</v>
      </c>
      <c r="H97" s="3"/>
      <c r="I97" s="7">
        <f t="shared" si="5"/>
        <v>68677</v>
      </c>
      <c r="J97" s="3"/>
      <c r="K97" s="3">
        <v>621500</v>
      </c>
      <c r="L97" s="3"/>
      <c r="M97" s="7">
        <f t="shared" si="6"/>
        <v>281878</v>
      </c>
      <c r="N97" s="3"/>
      <c r="O97" s="3">
        <v>0</v>
      </c>
      <c r="P97" s="3"/>
      <c r="Q97" s="3">
        <v>281878</v>
      </c>
      <c r="R97" s="3"/>
      <c r="S97" s="3">
        <v>0</v>
      </c>
      <c r="T97" s="3"/>
      <c r="U97" s="3">
        <v>0</v>
      </c>
      <c r="V97" s="3"/>
      <c r="W97" s="3">
        <v>0</v>
      </c>
      <c r="X97" s="3"/>
      <c r="Y97" s="3">
        <v>26238</v>
      </c>
      <c r="Z97" s="3"/>
      <c r="AA97" s="3">
        <v>313384</v>
      </c>
      <c r="AB97" s="3"/>
      <c r="AC97" s="20">
        <f t="shared" si="4"/>
        <v>339622</v>
      </c>
      <c r="AD97" s="13"/>
      <c r="AE97" s="3">
        <f t="shared" si="7"/>
        <v>0</v>
      </c>
    </row>
    <row r="98" spans="1:31">
      <c r="A98" s="13" t="s">
        <v>359</v>
      </c>
      <c r="B98" s="13"/>
      <c r="C98" s="13" t="s">
        <v>144</v>
      </c>
      <c r="E98" s="3">
        <v>1378630</v>
      </c>
      <c r="F98" s="3"/>
      <c r="G98" s="3">
        <v>0</v>
      </c>
      <c r="H98" s="3"/>
      <c r="I98" s="7">
        <f t="shared" si="5"/>
        <v>1456581</v>
      </c>
      <c r="J98" s="3"/>
      <c r="K98" s="3">
        <v>2835211</v>
      </c>
      <c r="L98" s="3"/>
      <c r="M98" s="7">
        <f t="shared" si="6"/>
        <v>938791</v>
      </c>
      <c r="N98" s="3"/>
      <c r="O98" s="3">
        <v>0</v>
      </c>
      <c r="P98" s="3"/>
      <c r="Q98" s="3">
        <v>938791</v>
      </c>
      <c r="R98" s="3"/>
      <c r="S98" s="3">
        <v>0</v>
      </c>
      <c r="T98" s="3"/>
      <c r="U98" s="3">
        <v>0</v>
      </c>
      <c r="V98" s="3"/>
      <c r="W98" s="3">
        <v>0</v>
      </c>
      <c r="X98" s="3"/>
      <c r="Y98" s="3">
        <v>313643</v>
      </c>
      <c r="Z98" s="3"/>
      <c r="AA98" s="3">
        <v>1582777</v>
      </c>
      <c r="AB98" s="3"/>
      <c r="AC98" s="20">
        <f t="shared" si="4"/>
        <v>1896420</v>
      </c>
      <c r="AD98" s="13"/>
      <c r="AE98" s="3">
        <f t="shared" si="7"/>
        <v>0</v>
      </c>
    </row>
    <row r="99" spans="1:31">
      <c r="A99" s="13" t="s">
        <v>358</v>
      </c>
      <c r="B99" s="13"/>
      <c r="C99" s="13" t="s">
        <v>177</v>
      </c>
      <c r="E99" s="3">
        <v>3185432</v>
      </c>
      <c r="F99" s="3"/>
      <c r="G99" s="3">
        <v>0</v>
      </c>
      <c r="H99" s="3"/>
      <c r="I99" s="7">
        <f t="shared" si="5"/>
        <v>542619</v>
      </c>
      <c r="J99" s="3"/>
      <c r="K99" s="3">
        <v>3728051</v>
      </c>
      <c r="L99" s="3"/>
      <c r="M99" s="7">
        <f t="shared" si="6"/>
        <v>1471787</v>
      </c>
      <c r="N99" s="3"/>
      <c r="O99" s="3">
        <v>65950</v>
      </c>
      <c r="P99" s="3"/>
      <c r="Q99" s="3">
        <v>1537737</v>
      </c>
      <c r="R99" s="3"/>
      <c r="S99" s="3">
        <v>0</v>
      </c>
      <c r="T99" s="3"/>
      <c r="U99" s="3">
        <v>0</v>
      </c>
      <c r="V99" s="3"/>
      <c r="W99" s="3">
        <f>529454+754955</f>
        <v>1284409</v>
      </c>
      <c r="X99" s="3"/>
      <c r="Y99" s="3">
        <f>897+88049+1254</f>
        <v>90200</v>
      </c>
      <c r="Z99" s="3"/>
      <c r="AA99" s="3">
        <v>815705</v>
      </c>
      <c r="AB99" s="3"/>
      <c r="AC99" s="20">
        <f t="shared" si="4"/>
        <v>2190314</v>
      </c>
      <c r="AD99" s="13"/>
      <c r="AE99" s="3">
        <f t="shared" si="7"/>
        <v>0</v>
      </c>
    </row>
    <row r="100" spans="1:31" hidden="1">
      <c r="A100" s="3" t="s">
        <v>322</v>
      </c>
      <c r="B100" s="13"/>
      <c r="C100" s="13" t="s">
        <v>153</v>
      </c>
      <c r="E100" s="3">
        <v>0</v>
      </c>
      <c r="F100" s="3"/>
      <c r="G100" s="3">
        <v>0</v>
      </c>
      <c r="H100" s="3"/>
      <c r="I100" s="7">
        <f t="shared" si="5"/>
        <v>0</v>
      </c>
      <c r="J100" s="3"/>
      <c r="K100" s="3">
        <v>0</v>
      </c>
      <c r="L100" s="3"/>
      <c r="M100" s="7">
        <f t="shared" si="6"/>
        <v>0</v>
      </c>
      <c r="N100" s="3"/>
      <c r="O100" s="3">
        <v>0</v>
      </c>
      <c r="P100" s="3"/>
      <c r="Q100" s="3">
        <v>0</v>
      </c>
      <c r="R100" s="3"/>
      <c r="S100" s="3">
        <v>0</v>
      </c>
      <c r="T100" s="3"/>
      <c r="U100" s="3">
        <v>0</v>
      </c>
      <c r="V100" s="3"/>
      <c r="W100" s="3">
        <v>0</v>
      </c>
      <c r="X100" s="3"/>
      <c r="Y100" s="3">
        <v>0</v>
      </c>
      <c r="Z100" s="3"/>
      <c r="AA100" s="3">
        <v>0</v>
      </c>
      <c r="AB100" s="3"/>
      <c r="AC100" s="20">
        <f t="shared" si="4"/>
        <v>0</v>
      </c>
      <c r="AD100" s="13"/>
      <c r="AE100" s="3">
        <f t="shared" si="7"/>
        <v>0</v>
      </c>
    </row>
    <row r="101" spans="1:31">
      <c r="A101" s="3" t="s">
        <v>323</v>
      </c>
      <c r="B101" s="13"/>
      <c r="C101" s="13" t="s">
        <v>178</v>
      </c>
      <c r="E101" s="3">
        <v>1332632</v>
      </c>
      <c r="F101" s="3"/>
      <c r="G101" s="3">
        <v>0</v>
      </c>
      <c r="H101" s="3"/>
      <c r="I101" s="7">
        <f t="shared" si="5"/>
        <v>2647074</v>
      </c>
      <c r="J101" s="3"/>
      <c r="K101" s="3">
        <v>3979706</v>
      </c>
      <c r="L101" s="3"/>
      <c r="M101" s="7">
        <f t="shared" si="6"/>
        <v>1956294</v>
      </c>
      <c r="N101" s="3"/>
      <c r="O101" s="3">
        <f>1546790+42675</f>
        <v>1589465</v>
      </c>
      <c r="P101" s="3"/>
      <c r="Q101" s="3">
        <v>3545759</v>
      </c>
      <c r="R101" s="3"/>
      <c r="S101" s="3">
        <f>20194+2614+3350</f>
        <v>26158</v>
      </c>
      <c r="T101" s="3"/>
      <c r="U101" s="3">
        <v>0</v>
      </c>
      <c r="V101" s="3"/>
      <c r="W101" s="3">
        <v>0</v>
      </c>
      <c r="X101" s="3"/>
      <c r="Y101" s="3">
        <v>266201</v>
      </c>
      <c r="Z101" s="3"/>
      <c r="AA101" s="3">
        <v>141588</v>
      </c>
      <c r="AB101" s="3"/>
      <c r="AC101" s="20">
        <f t="shared" si="4"/>
        <v>433947</v>
      </c>
      <c r="AD101" s="13"/>
      <c r="AE101" s="3">
        <f t="shared" si="7"/>
        <v>0</v>
      </c>
    </row>
    <row r="102" spans="1:31">
      <c r="A102" s="3" t="s">
        <v>179</v>
      </c>
      <c r="B102" s="13"/>
      <c r="C102" s="13" t="s">
        <v>180</v>
      </c>
      <c r="E102" s="3">
        <v>1471380</v>
      </c>
      <c r="F102" s="3"/>
      <c r="G102" s="3">
        <v>0</v>
      </c>
      <c r="H102" s="3"/>
      <c r="I102" s="7">
        <f t="shared" si="5"/>
        <v>20789</v>
      </c>
      <c r="J102" s="3"/>
      <c r="K102" s="3">
        <v>1492169</v>
      </c>
      <c r="L102" s="3"/>
      <c r="M102" s="7">
        <f t="shared" si="6"/>
        <v>194320</v>
      </c>
      <c r="N102" s="3"/>
      <c r="O102" s="3">
        <v>0</v>
      </c>
      <c r="P102" s="3"/>
      <c r="Q102" s="3">
        <v>194320</v>
      </c>
      <c r="R102" s="3"/>
      <c r="S102" s="3">
        <v>0</v>
      </c>
      <c r="T102" s="3"/>
      <c r="U102" s="3">
        <v>953982</v>
      </c>
      <c r="V102" s="3"/>
      <c r="W102" s="3">
        <v>203849</v>
      </c>
      <c r="X102" s="3"/>
      <c r="Y102" s="3">
        <v>84220</v>
      </c>
      <c r="Z102" s="3"/>
      <c r="AA102" s="3">
        <v>55798</v>
      </c>
      <c r="AB102" s="3"/>
      <c r="AC102" s="20">
        <f t="shared" si="4"/>
        <v>1297849</v>
      </c>
      <c r="AD102" s="13"/>
      <c r="AE102" s="3">
        <f t="shared" si="7"/>
        <v>0</v>
      </c>
    </row>
    <row r="103" spans="1:31" hidden="1">
      <c r="A103" s="3" t="s">
        <v>324</v>
      </c>
      <c r="B103" s="13"/>
      <c r="C103" s="13" t="s">
        <v>181</v>
      </c>
      <c r="E103" s="3">
        <v>0</v>
      </c>
      <c r="F103" s="3"/>
      <c r="G103" s="3">
        <v>0</v>
      </c>
      <c r="H103" s="3"/>
      <c r="I103" s="7">
        <f t="shared" si="5"/>
        <v>0</v>
      </c>
      <c r="J103" s="3"/>
      <c r="K103" s="3">
        <v>0</v>
      </c>
      <c r="L103" s="3"/>
      <c r="M103" s="7">
        <f t="shared" si="6"/>
        <v>0</v>
      </c>
      <c r="N103" s="3"/>
      <c r="O103" s="3">
        <v>0</v>
      </c>
      <c r="P103" s="3"/>
      <c r="Q103" s="3">
        <v>0</v>
      </c>
      <c r="R103" s="3"/>
      <c r="S103" s="3">
        <v>0</v>
      </c>
      <c r="T103" s="3"/>
      <c r="U103" s="3">
        <v>0</v>
      </c>
      <c r="V103" s="3"/>
      <c r="W103" s="3">
        <v>0</v>
      </c>
      <c r="X103" s="3"/>
      <c r="Y103" s="3">
        <v>0</v>
      </c>
      <c r="Z103" s="3"/>
      <c r="AA103" s="3">
        <v>0</v>
      </c>
      <c r="AB103" s="3"/>
      <c r="AC103" s="20">
        <f t="shared" si="4"/>
        <v>0</v>
      </c>
      <c r="AD103" s="13"/>
      <c r="AE103" s="3">
        <f t="shared" si="7"/>
        <v>0</v>
      </c>
    </row>
    <row r="104" spans="1:31">
      <c r="A104" s="3" t="s">
        <v>325</v>
      </c>
      <c r="B104" s="13"/>
      <c r="C104" s="13" t="s">
        <v>182</v>
      </c>
      <c r="E104" s="3">
        <v>3891700</v>
      </c>
      <c r="F104" s="3"/>
      <c r="G104" s="3">
        <v>3454</v>
      </c>
      <c r="H104" s="3"/>
      <c r="I104" s="7">
        <f t="shared" si="5"/>
        <v>177460</v>
      </c>
      <c r="J104" s="3"/>
      <c r="K104" s="3">
        <v>4072614</v>
      </c>
      <c r="L104" s="3"/>
      <c r="M104" s="7">
        <f t="shared" si="6"/>
        <v>1465494</v>
      </c>
      <c r="N104" s="3"/>
      <c r="O104" s="3">
        <v>923</v>
      </c>
      <c r="P104" s="3"/>
      <c r="Q104" s="3">
        <v>1466417</v>
      </c>
      <c r="R104" s="3"/>
      <c r="S104" s="3">
        <v>12746</v>
      </c>
      <c r="T104" s="3"/>
      <c r="U104" s="3">
        <v>0</v>
      </c>
      <c r="V104" s="3"/>
      <c r="W104" s="3">
        <v>254783</v>
      </c>
      <c r="X104" s="3"/>
      <c r="Y104" s="3">
        <v>45736</v>
      </c>
      <c r="Z104" s="3"/>
      <c r="AA104" s="3">
        <v>2292932</v>
      </c>
      <c r="AB104" s="3"/>
      <c r="AC104" s="20">
        <f t="shared" si="4"/>
        <v>2606197</v>
      </c>
      <c r="AD104" s="13"/>
      <c r="AE104" s="3">
        <f t="shared" si="7"/>
        <v>0</v>
      </c>
    </row>
    <row r="105" spans="1:31" hidden="1">
      <c r="A105" s="3" t="s">
        <v>280</v>
      </c>
      <c r="B105" s="3"/>
      <c r="C105" s="3" t="s">
        <v>191</v>
      </c>
      <c r="E105" s="3">
        <v>0</v>
      </c>
      <c r="F105" s="3"/>
      <c r="G105" s="3">
        <v>0</v>
      </c>
      <c r="H105" s="3"/>
      <c r="I105" s="7">
        <f>+K105-G105-E105</f>
        <v>0</v>
      </c>
      <c r="J105" s="3"/>
      <c r="K105" s="3">
        <v>0</v>
      </c>
      <c r="L105" s="3"/>
      <c r="M105" s="7">
        <f>+Q105-O105</f>
        <v>0</v>
      </c>
      <c r="N105" s="3"/>
      <c r="O105" s="3">
        <v>0</v>
      </c>
      <c r="P105" s="3"/>
      <c r="Q105" s="3">
        <v>0</v>
      </c>
      <c r="R105" s="3"/>
      <c r="S105" s="3">
        <v>0</v>
      </c>
      <c r="T105" s="3"/>
      <c r="U105" s="3">
        <v>0</v>
      </c>
      <c r="V105" s="3"/>
      <c r="W105" s="3">
        <v>0</v>
      </c>
      <c r="X105" s="3"/>
      <c r="Y105" s="3">
        <v>0</v>
      </c>
      <c r="Z105" s="3"/>
      <c r="AA105" s="3">
        <v>0</v>
      </c>
      <c r="AB105" s="3"/>
      <c r="AC105" s="20">
        <f t="shared" si="4"/>
        <v>0</v>
      </c>
      <c r="AD105" s="13"/>
      <c r="AE105" s="3">
        <f t="shared" si="7"/>
        <v>0</v>
      </c>
    </row>
    <row r="106" spans="1:31">
      <c r="A106" s="3" t="s">
        <v>326</v>
      </c>
      <c r="B106" s="13"/>
      <c r="C106" s="13" t="s">
        <v>183</v>
      </c>
      <c r="E106" s="3">
        <v>13620886</v>
      </c>
      <c r="F106" s="3"/>
      <c r="G106" s="3">
        <v>5340</v>
      </c>
      <c r="H106" s="3"/>
      <c r="I106" s="7">
        <f t="shared" si="5"/>
        <v>1906762</v>
      </c>
      <c r="J106" s="3"/>
      <c r="K106" s="3">
        <v>15532988</v>
      </c>
      <c r="L106" s="3"/>
      <c r="M106" s="7">
        <f t="shared" si="6"/>
        <v>2871808</v>
      </c>
      <c r="N106" s="3"/>
      <c r="O106" s="3">
        <v>179379</v>
      </c>
      <c r="P106" s="3"/>
      <c r="Q106" s="3">
        <v>3051187</v>
      </c>
      <c r="R106" s="3"/>
      <c r="S106" s="3">
        <v>29</v>
      </c>
      <c r="T106" s="3"/>
      <c r="U106" s="3">
        <v>0</v>
      </c>
      <c r="V106" s="3"/>
      <c r="W106" s="3">
        <v>0</v>
      </c>
      <c r="X106" s="3"/>
      <c r="Y106" s="3">
        <v>718414</v>
      </c>
      <c r="Z106" s="3"/>
      <c r="AA106" s="3">
        <v>11763358</v>
      </c>
      <c r="AB106" s="3"/>
      <c r="AC106" s="20">
        <f t="shared" si="4"/>
        <v>12481801</v>
      </c>
      <c r="AD106" s="13"/>
      <c r="AE106" s="3">
        <f t="shared" si="7"/>
        <v>0</v>
      </c>
    </row>
    <row r="107" spans="1:31">
      <c r="A107" s="3" t="s">
        <v>184</v>
      </c>
      <c r="B107" s="13"/>
      <c r="C107" s="13" t="s">
        <v>185</v>
      </c>
      <c r="E107" s="3">
        <v>3730099</v>
      </c>
      <c r="F107" s="3"/>
      <c r="G107" s="3">
        <v>2683</v>
      </c>
      <c r="H107" s="3"/>
      <c r="I107" s="7">
        <f t="shared" si="5"/>
        <v>1170265</v>
      </c>
      <c r="J107" s="3"/>
      <c r="K107" s="3">
        <v>4903047</v>
      </c>
      <c r="L107" s="3"/>
      <c r="M107" s="7">
        <f t="shared" si="6"/>
        <v>1600791</v>
      </c>
      <c r="N107" s="3"/>
      <c r="O107" s="3">
        <v>2773</v>
      </c>
      <c r="P107" s="3"/>
      <c r="Q107" s="3">
        <v>1603564</v>
      </c>
      <c r="R107" s="3"/>
      <c r="S107" s="3">
        <f>158915+2683</f>
        <v>161598</v>
      </c>
      <c r="T107" s="3"/>
      <c r="U107" s="3">
        <v>0</v>
      </c>
      <c r="V107" s="3"/>
      <c r="W107" s="3">
        <v>0</v>
      </c>
      <c r="X107" s="3"/>
      <c r="Y107" s="3">
        <v>344911</v>
      </c>
      <c r="Z107" s="3"/>
      <c r="AA107" s="3">
        <v>2792974</v>
      </c>
      <c r="AB107" s="3"/>
      <c r="AC107" s="20">
        <f t="shared" si="4"/>
        <v>3299483</v>
      </c>
      <c r="AD107" s="13"/>
      <c r="AE107" s="3">
        <f t="shared" si="7"/>
        <v>0</v>
      </c>
    </row>
    <row r="108" spans="1:31">
      <c r="A108" s="3" t="s">
        <v>268</v>
      </c>
      <c r="B108" s="13"/>
      <c r="C108" s="13" t="s">
        <v>195</v>
      </c>
      <c r="E108" s="3">
        <v>1822960</v>
      </c>
      <c r="F108" s="3"/>
      <c r="G108" s="3">
        <v>0</v>
      </c>
      <c r="H108" s="3"/>
      <c r="I108" s="7">
        <f t="shared" si="5"/>
        <v>376520</v>
      </c>
      <c r="J108" s="3"/>
      <c r="K108" s="3">
        <v>2199480</v>
      </c>
      <c r="L108" s="3"/>
      <c r="M108" s="7">
        <f t="shared" si="6"/>
        <v>1656588</v>
      </c>
      <c r="N108" s="3"/>
      <c r="O108" s="3">
        <v>138989</v>
      </c>
      <c r="P108" s="3"/>
      <c r="Q108" s="3">
        <v>1795577</v>
      </c>
      <c r="R108" s="3"/>
      <c r="S108" s="3">
        <v>29175</v>
      </c>
      <c r="T108" s="3"/>
      <c r="U108" s="3">
        <v>0</v>
      </c>
      <c r="V108" s="3"/>
      <c r="W108" s="3">
        <v>0</v>
      </c>
      <c r="X108" s="3"/>
      <c r="Y108" s="3">
        <f>45252+145659+979</f>
        <v>191890</v>
      </c>
      <c r="Z108" s="3"/>
      <c r="AA108" s="3">
        <v>182838</v>
      </c>
      <c r="AB108" s="3"/>
      <c r="AC108" s="20">
        <f t="shared" si="4"/>
        <v>403903</v>
      </c>
      <c r="AD108" s="13"/>
      <c r="AE108" s="3">
        <f t="shared" si="7"/>
        <v>0</v>
      </c>
    </row>
    <row r="109" spans="1:31">
      <c r="A109" s="13" t="s">
        <v>305</v>
      </c>
      <c r="B109" s="13"/>
      <c r="C109" s="13" t="s">
        <v>162</v>
      </c>
      <c r="E109" s="3">
        <v>7128074</v>
      </c>
      <c r="F109" s="3"/>
      <c r="G109" s="3">
        <v>0</v>
      </c>
      <c r="H109" s="3"/>
      <c r="I109" s="7">
        <f t="shared" ref="I109" si="8">+K109-G109-E109</f>
        <v>524924</v>
      </c>
      <c r="J109" s="3"/>
      <c r="K109" s="3">
        <v>7652998</v>
      </c>
      <c r="L109" s="3"/>
      <c r="M109" s="7">
        <f t="shared" ref="M109" si="9">+Q109-O109</f>
        <v>2290312</v>
      </c>
      <c r="N109" s="3"/>
      <c r="O109" s="3">
        <f>78599+5165</f>
        <v>83764</v>
      </c>
      <c r="P109" s="3"/>
      <c r="Q109" s="3">
        <v>2374076</v>
      </c>
      <c r="R109" s="3"/>
      <c r="S109" s="3">
        <v>72241</v>
      </c>
      <c r="T109" s="3"/>
      <c r="U109" s="3">
        <v>0</v>
      </c>
      <c r="V109" s="3"/>
      <c r="W109" s="3">
        <v>0</v>
      </c>
      <c r="X109" s="3"/>
      <c r="Y109" s="3">
        <f>34488+262844+64257</f>
        <v>361589</v>
      </c>
      <c r="Z109" s="3"/>
      <c r="AA109" s="3">
        <v>4845092</v>
      </c>
      <c r="AB109" s="3"/>
      <c r="AC109" s="20">
        <f t="shared" si="4"/>
        <v>5278922</v>
      </c>
      <c r="AD109" s="13"/>
      <c r="AE109" s="3">
        <f t="shared" si="7"/>
        <v>0</v>
      </c>
    </row>
    <row r="110" spans="1:31">
      <c r="A110" s="3" t="s">
        <v>165</v>
      </c>
      <c r="B110" s="13"/>
      <c r="C110" s="3" t="s">
        <v>327</v>
      </c>
      <c r="E110" s="3">
        <v>3548274</v>
      </c>
      <c r="F110" s="3"/>
      <c r="G110" s="3">
        <v>0</v>
      </c>
      <c r="H110" s="3"/>
      <c r="I110" s="7">
        <f t="shared" si="5"/>
        <v>62037</v>
      </c>
      <c r="J110" s="3"/>
      <c r="K110" s="3">
        <v>3610311</v>
      </c>
      <c r="L110" s="3"/>
      <c r="M110" s="7">
        <f t="shared" si="6"/>
        <v>2371406</v>
      </c>
      <c r="N110" s="3"/>
      <c r="O110" s="3">
        <v>20104</v>
      </c>
      <c r="P110" s="3"/>
      <c r="Q110" s="3">
        <v>2391510</v>
      </c>
      <c r="R110" s="3"/>
      <c r="S110" s="3">
        <v>14677</v>
      </c>
      <c r="T110" s="3"/>
      <c r="U110" s="3">
        <v>0</v>
      </c>
      <c r="V110" s="3"/>
      <c r="W110" s="3">
        <v>94843</v>
      </c>
      <c r="X110" s="3"/>
      <c r="Y110" s="3">
        <v>45100</v>
      </c>
      <c r="Z110" s="3"/>
      <c r="AA110" s="3">
        <v>1064181</v>
      </c>
      <c r="AB110" s="3"/>
      <c r="AC110" s="20">
        <f t="shared" si="4"/>
        <v>1218801</v>
      </c>
      <c r="AD110" s="13"/>
      <c r="AE110" s="3">
        <f t="shared" si="7"/>
        <v>0</v>
      </c>
    </row>
    <row r="111" spans="1:31">
      <c r="A111" s="3" t="s">
        <v>314</v>
      </c>
      <c r="B111" s="13"/>
      <c r="C111" s="3" t="s">
        <v>262</v>
      </c>
      <c r="E111" s="3">
        <v>1937573</v>
      </c>
      <c r="F111" s="3"/>
      <c r="G111" s="3">
        <v>28613</v>
      </c>
      <c r="H111" s="3"/>
      <c r="I111" s="7">
        <f t="shared" si="5"/>
        <v>103048</v>
      </c>
      <c r="J111" s="3"/>
      <c r="K111" s="3">
        <v>2069234</v>
      </c>
      <c r="L111" s="3"/>
      <c r="M111" s="7">
        <f t="shared" si="6"/>
        <v>789949</v>
      </c>
      <c r="N111" s="3"/>
      <c r="O111" s="3">
        <v>13329</v>
      </c>
      <c r="P111" s="3"/>
      <c r="Q111" s="3">
        <v>803278</v>
      </c>
      <c r="R111" s="3"/>
      <c r="S111" s="3">
        <v>39215</v>
      </c>
      <c r="T111" s="3"/>
      <c r="U111" s="3">
        <v>0</v>
      </c>
      <c r="V111" s="3"/>
      <c r="W111" s="3">
        <v>0</v>
      </c>
      <c r="X111" s="3"/>
      <c r="Y111" s="3">
        <v>100674</v>
      </c>
      <c r="Z111" s="3"/>
      <c r="AA111" s="3">
        <v>1126067</v>
      </c>
      <c r="AB111" s="3"/>
      <c r="AC111" s="20">
        <f t="shared" si="4"/>
        <v>1265956</v>
      </c>
      <c r="AD111" s="13"/>
      <c r="AE111" s="3">
        <f t="shared" si="7"/>
        <v>0</v>
      </c>
    </row>
    <row r="112" spans="1:31" hidden="1">
      <c r="A112" s="3" t="s">
        <v>364</v>
      </c>
      <c r="B112" s="13"/>
      <c r="C112" s="13" t="s">
        <v>186</v>
      </c>
      <c r="E112" s="3">
        <v>0</v>
      </c>
      <c r="F112" s="3"/>
      <c r="G112" s="3">
        <v>0</v>
      </c>
      <c r="H112" s="3"/>
      <c r="I112" s="7">
        <f t="shared" si="5"/>
        <v>0</v>
      </c>
      <c r="J112" s="3"/>
      <c r="K112" s="3">
        <v>0</v>
      </c>
      <c r="L112" s="3"/>
      <c r="M112" s="7">
        <f t="shared" si="6"/>
        <v>0</v>
      </c>
      <c r="N112" s="3"/>
      <c r="O112" s="3">
        <v>0</v>
      </c>
      <c r="P112" s="3"/>
      <c r="Q112" s="3">
        <v>0</v>
      </c>
      <c r="R112" s="3"/>
      <c r="S112" s="3">
        <v>0</v>
      </c>
      <c r="T112" s="3"/>
      <c r="U112" s="3">
        <v>0</v>
      </c>
      <c r="V112" s="3"/>
      <c r="W112" s="3">
        <v>0</v>
      </c>
      <c r="X112" s="3"/>
      <c r="Y112" s="3">
        <v>0</v>
      </c>
      <c r="Z112" s="3"/>
      <c r="AA112" s="3">
        <v>0</v>
      </c>
      <c r="AB112" s="3"/>
      <c r="AC112" s="20">
        <f t="shared" si="4"/>
        <v>0</v>
      </c>
      <c r="AD112" s="13"/>
      <c r="AE112" s="3">
        <f t="shared" si="7"/>
        <v>0</v>
      </c>
    </row>
    <row r="113" spans="1:31">
      <c r="A113" s="3" t="s">
        <v>338</v>
      </c>
      <c r="B113" s="13"/>
      <c r="C113" s="13" t="s">
        <v>187</v>
      </c>
      <c r="E113" s="3">
        <v>728458</v>
      </c>
      <c r="F113" s="3"/>
      <c r="G113" s="3">
        <v>0</v>
      </c>
      <c r="H113" s="3"/>
      <c r="I113" s="7">
        <f t="shared" si="5"/>
        <v>49561</v>
      </c>
      <c r="J113" s="3"/>
      <c r="K113" s="3">
        <v>778019</v>
      </c>
      <c r="L113" s="3"/>
      <c r="M113" s="7">
        <f t="shared" si="6"/>
        <v>339763</v>
      </c>
      <c r="N113" s="3"/>
      <c r="O113" s="3">
        <v>0</v>
      </c>
      <c r="P113" s="3"/>
      <c r="Q113" s="3">
        <v>339763</v>
      </c>
      <c r="R113" s="3"/>
      <c r="S113" s="3">
        <v>0</v>
      </c>
      <c r="T113" s="3"/>
      <c r="U113" s="3">
        <v>0</v>
      </c>
      <c r="V113" s="3"/>
      <c r="W113" s="3">
        <v>1549</v>
      </c>
      <c r="X113" s="3"/>
      <c r="Y113" s="3">
        <v>3020</v>
      </c>
      <c r="Z113" s="3"/>
      <c r="AA113" s="3">
        <v>433687</v>
      </c>
      <c r="AB113" s="3"/>
      <c r="AC113" s="20">
        <f t="shared" si="4"/>
        <v>438256</v>
      </c>
      <c r="AD113" s="13"/>
      <c r="AE113" s="3">
        <f t="shared" si="7"/>
        <v>0</v>
      </c>
    </row>
    <row r="114" spans="1:31">
      <c r="A114" s="3" t="s">
        <v>329</v>
      </c>
      <c r="B114" s="13"/>
      <c r="C114" s="13" t="s">
        <v>188</v>
      </c>
      <c r="E114" s="3">
        <v>844297</v>
      </c>
      <c r="F114" s="3"/>
      <c r="G114" s="3">
        <v>0</v>
      </c>
      <c r="H114" s="3"/>
      <c r="I114" s="7">
        <f t="shared" si="5"/>
        <v>420234</v>
      </c>
      <c r="J114" s="3"/>
      <c r="K114" s="3">
        <v>1264531</v>
      </c>
      <c r="L114" s="3"/>
      <c r="M114" s="7">
        <f t="shared" si="6"/>
        <v>678640</v>
      </c>
      <c r="N114" s="3"/>
      <c r="O114" s="3">
        <v>295924</v>
      </c>
      <c r="P114" s="3"/>
      <c r="Q114" s="3">
        <v>974564</v>
      </c>
      <c r="R114" s="3"/>
      <c r="S114" s="3">
        <v>0</v>
      </c>
      <c r="T114" s="3"/>
      <c r="U114" s="3">
        <v>121208</v>
      </c>
      <c r="V114" s="3"/>
      <c r="W114" s="3">
        <v>0</v>
      </c>
      <c r="X114" s="3"/>
      <c r="Y114" s="3">
        <v>5018</v>
      </c>
      <c r="Z114" s="3"/>
      <c r="AA114" s="3">
        <v>163741</v>
      </c>
      <c r="AB114" s="3"/>
      <c r="AC114" s="20">
        <f t="shared" si="4"/>
        <v>289967</v>
      </c>
      <c r="AD114" s="13"/>
      <c r="AE114" s="3">
        <f t="shared" si="7"/>
        <v>0</v>
      </c>
    </row>
    <row r="115" spans="1:31" hidden="1">
      <c r="A115" s="13" t="s">
        <v>330</v>
      </c>
      <c r="B115" s="13"/>
      <c r="C115" s="13" t="s">
        <v>189</v>
      </c>
      <c r="E115" s="3">
        <v>0</v>
      </c>
      <c r="F115" s="3"/>
      <c r="G115" s="3">
        <v>0</v>
      </c>
      <c r="H115" s="3"/>
      <c r="I115" s="7">
        <f t="shared" si="5"/>
        <v>0</v>
      </c>
      <c r="J115" s="3"/>
      <c r="K115" s="3">
        <v>0</v>
      </c>
      <c r="L115" s="3"/>
      <c r="M115" s="7">
        <f t="shared" si="6"/>
        <v>0</v>
      </c>
      <c r="N115" s="3"/>
      <c r="O115" s="3">
        <v>0</v>
      </c>
      <c r="P115" s="3"/>
      <c r="Q115" s="3">
        <v>0</v>
      </c>
      <c r="R115" s="3"/>
      <c r="S115" s="3">
        <v>0</v>
      </c>
      <c r="T115" s="3"/>
      <c r="U115" s="3">
        <v>0</v>
      </c>
      <c r="V115" s="3"/>
      <c r="W115" s="3">
        <v>0</v>
      </c>
      <c r="X115" s="3"/>
      <c r="Y115" s="3">
        <v>0</v>
      </c>
      <c r="Z115" s="3"/>
      <c r="AA115" s="3">
        <v>0</v>
      </c>
      <c r="AB115" s="3"/>
      <c r="AC115" s="20">
        <f t="shared" si="4"/>
        <v>0</v>
      </c>
      <c r="AD115" s="13"/>
      <c r="AE115" s="3">
        <f t="shared" si="7"/>
        <v>0</v>
      </c>
    </row>
    <row r="116" spans="1:31">
      <c r="A116" s="3" t="s">
        <v>331</v>
      </c>
      <c r="B116" s="13"/>
      <c r="C116" s="13" t="s">
        <v>190</v>
      </c>
      <c r="E116" s="3">
        <v>1336644</v>
      </c>
      <c r="F116" s="3"/>
      <c r="G116" s="3">
        <v>0</v>
      </c>
      <c r="H116" s="3"/>
      <c r="I116" s="7">
        <f t="shared" si="5"/>
        <v>159062</v>
      </c>
      <c r="J116" s="3"/>
      <c r="K116" s="3">
        <v>1495706</v>
      </c>
      <c r="L116" s="3"/>
      <c r="M116" s="7">
        <f t="shared" si="6"/>
        <v>569909</v>
      </c>
      <c r="N116" s="3"/>
      <c r="O116" s="3">
        <v>957</v>
      </c>
      <c r="P116" s="3"/>
      <c r="Q116" s="3">
        <v>570866</v>
      </c>
      <c r="R116" s="3"/>
      <c r="S116" s="3">
        <v>0</v>
      </c>
      <c r="T116" s="3"/>
      <c r="U116" s="3">
        <v>0</v>
      </c>
      <c r="V116" s="3"/>
      <c r="W116" s="3">
        <v>0</v>
      </c>
      <c r="X116" s="3"/>
      <c r="Y116" s="3">
        <f>1623+29058</f>
        <v>30681</v>
      </c>
      <c r="Z116" s="3"/>
      <c r="AA116" s="3">
        <v>894159</v>
      </c>
      <c r="AB116" s="3"/>
      <c r="AC116" s="20">
        <f t="shared" si="4"/>
        <v>924840</v>
      </c>
      <c r="AD116" s="13"/>
      <c r="AE116" s="3">
        <f t="shared" si="7"/>
        <v>0</v>
      </c>
    </row>
    <row r="117" spans="1:31">
      <c r="A117" s="3" t="s">
        <v>332</v>
      </c>
      <c r="B117" s="13"/>
      <c r="C117" s="13" t="s">
        <v>192</v>
      </c>
      <c r="E117" s="3">
        <v>2986510</v>
      </c>
      <c r="F117" s="3"/>
      <c r="G117" s="3">
        <v>0</v>
      </c>
      <c r="H117" s="3"/>
      <c r="I117" s="7">
        <f t="shared" si="5"/>
        <v>733365</v>
      </c>
      <c r="J117" s="3"/>
      <c r="K117" s="3">
        <v>3719875</v>
      </c>
      <c r="L117" s="3"/>
      <c r="M117" s="7">
        <f t="shared" si="6"/>
        <v>884608</v>
      </c>
      <c r="N117" s="3"/>
      <c r="O117" s="3">
        <v>2151</v>
      </c>
      <c r="P117" s="3"/>
      <c r="Q117" s="3">
        <v>886759</v>
      </c>
      <c r="R117" s="3"/>
      <c r="S117" s="3">
        <v>0</v>
      </c>
      <c r="T117" s="3"/>
      <c r="U117" s="3">
        <v>0</v>
      </c>
      <c r="V117" s="3"/>
      <c r="W117" s="3">
        <v>24824</v>
      </c>
      <c r="X117" s="3"/>
      <c r="Y117" s="3">
        <v>15015</v>
      </c>
      <c r="Z117" s="3"/>
      <c r="AA117" s="3">
        <v>2793277</v>
      </c>
      <c r="AB117" s="3"/>
      <c r="AC117" s="20">
        <f t="shared" si="4"/>
        <v>2833116</v>
      </c>
      <c r="AD117" s="13"/>
      <c r="AE117" s="3">
        <f t="shared" si="7"/>
        <v>0</v>
      </c>
    </row>
    <row r="118" spans="1:31" hidden="1">
      <c r="A118" s="3" t="s">
        <v>306</v>
      </c>
      <c r="B118" s="13"/>
      <c r="C118" s="13" t="s">
        <v>193</v>
      </c>
      <c r="E118" s="3">
        <v>0</v>
      </c>
      <c r="F118" s="3"/>
      <c r="G118" s="3">
        <v>0</v>
      </c>
      <c r="H118" s="3"/>
      <c r="I118" s="7">
        <f t="shared" si="5"/>
        <v>0</v>
      </c>
      <c r="J118" s="3"/>
      <c r="K118" s="3">
        <v>0</v>
      </c>
      <c r="L118" s="3"/>
      <c r="M118" s="7">
        <f t="shared" si="6"/>
        <v>0</v>
      </c>
      <c r="N118" s="3"/>
      <c r="O118" s="3">
        <v>0</v>
      </c>
      <c r="P118" s="3"/>
      <c r="Q118" s="3">
        <v>0</v>
      </c>
      <c r="R118" s="3"/>
      <c r="S118" s="3">
        <v>0</v>
      </c>
      <c r="T118" s="3"/>
      <c r="U118" s="3">
        <v>0</v>
      </c>
      <c r="V118" s="3"/>
      <c r="W118" s="3">
        <v>0</v>
      </c>
      <c r="X118" s="3"/>
      <c r="Y118" s="3">
        <v>0</v>
      </c>
      <c r="Z118" s="3"/>
      <c r="AA118" s="3">
        <v>0</v>
      </c>
      <c r="AB118" s="3"/>
      <c r="AC118" s="20">
        <f t="shared" si="4"/>
        <v>0</v>
      </c>
      <c r="AD118" s="13"/>
      <c r="AE118" s="3">
        <f t="shared" si="7"/>
        <v>0</v>
      </c>
    </row>
    <row r="119" spans="1:31" hidden="1">
      <c r="A119" s="3" t="s">
        <v>376</v>
      </c>
      <c r="B119" s="13"/>
      <c r="C119" s="13" t="s">
        <v>196</v>
      </c>
      <c r="E119" s="3">
        <v>0</v>
      </c>
      <c r="F119" s="3"/>
      <c r="G119" s="3">
        <v>0</v>
      </c>
      <c r="H119" s="3"/>
      <c r="I119" s="7">
        <f t="shared" si="5"/>
        <v>0</v>
      </c>
      <c r="J119" s="3"/>
      <c r="K119" s="3">
        <v>0</v>
      </c>
      <c r="L119" s="3"/>
      <c r="M119" s="7">
        <f t="shared" si="6"/>
        <v>0</v>
      </c>
      <c r="N119" s="3"/>
      <c r="O119" s="3">
        <v>0</v>
      </c>
      <c r="P119" s="3"/>
      <c r="Q119" s="3">
        <v>0</v>
      </c>
      <c r="R119" s="3"/>
      <c r="S119" s="3">
        <v>0</v>
      </c>
      <c r="T119" s="3"/>
      <c r="U119" s="3">
        <v>0</v>
      </c>
      <c r="V119" s="3"/>
      <c r="W119" s="3">
        <v>0</v>
      </c>
      <c r="X119" s="3"/>
      <c r="Y119" s="3">
        <v>0</v>
      </c>
      <c r="Z119" s="3"/>
      <c r="AA119" s="3">
        <v>0</v>
      </c>
      <c r="AB119" s="3"/>
      <c r="AC119" s="20">
        <f t="shared" si="4"/>
        <v>0</v>
      </c>
      <c r="AD119" s="13"/>
      <c r="AE119" s="3">
        <f t="shared" si="7"/>
        <v>0</v>
      </c>
    </row>
    <row r="120" spans="1:31">
      <c r="A120" s="3" t="s">
        <v>266</v>
      </c>
      <c r="B120" s="13"/>
      <c r="C120" s="13" t="s">
        <v>194</v>
      </c>
      <c r="E120" s="3">
        <v>1727251</v>
      </c>
      <c r="F120" s="3"/>
      <c r="G120" s="3">
        <v>0</v>
      </c>
      <c r="H120" s="3"/>
      <c r="I120" s="7">
        <f t="shared" si="5"/>
        <v>210016</v>
      </c>
      <c r="J120" s="3"/>
      <c r="K120" s="3">
        <v>1937267</v>
      </c>
      <c r="L120" s="3"/>
      <c r="M120" s="7">
        <f t="shared" si="6"/>
        <v>851055</v>
      </c>
      <c r="N120" s="3"/>
      <c r="O120" s="3">
        <v>550</v>
      </c>
      <c r="P120" s="3"/>
      <c r="Q120" s="3">
        <v>851605</v>
      </c>
      <c r="R120" s="3"/>
      <c r="S120" s="3">
        <v>0</v>
      </c>
      <c r="T120" s="3"/>
      <c r="U120" s="3">
        <v>41815</v>
      </c>
      <c r="V120" s="3"/>
      <c r="W120" s="3">
        <v>0</v>
      </c>
      <c r="X120" s="3"/>
      <c r="Y120" s="3">
        <v>71857</v>
      </c>
      <c r="Z120" s="3"/>
      <c r="AA120" s="3">
        <v>971990</v>
      </c>
      <c r="AB120" s="3"/>
      <c r="AC120" s="20">
        <f t="shared" si="4"/>
        <v>1085662</v>
      </c>
      <c r="AD120" s="13"/>
      <c r="AE120" s="3">
        <f t="shared" si="7"/>
        <v>0</v>
      </c>
    </row>
    <row r="121" spans="1:31">
      <c r="A121" s="3" t="s">
        <v>265</v>
      </c>
      <c r="B121" s="3"/>
      <c r="C121" s="3" t="s">
        <v>157</v>
      </c>
      <c r="E121" s="3">
        <v>2678210</v>
      </c>
      <c r="F121" s="3"/>
      <c r="G121" s="3">
        <v>0</v>
      </c>
      <c r="H121" s="3"/>
      <c r="I121" s="7">
        <f>+K121-G121-E121</f>
        <v>36417</v>
      </c>
      <c r="J121" s="3"/>
      <c r="K121" s="3">
        <v>2714627</v>
      </c>
      <c r="L121" s="3"/>
      <c r="M121" s="7">
        <f>+Q121-O121</f>
        <v>207579</v>
      </c>
      <c r="N121" s="3"/>
      <c r="O121" s="3">
        <v>2365</v>
      </c>
      <c r="P121" s="3"/>
      <c r="Q121" s="3">
        <v>209944</v>
      </c>
      <c r="R121" s="3"/>
      <c r="S121" s="3">
        <v>0</v>
      </c>
      <c r="T121" s="3"/>
      <c r="U121" s="3">
        <v>0</v>
      </c>
      <c r="V121" s="3"/>
      <c r="W121" s="3">
        <v>0</v>
      </c>
      <c r="X121" s="3"/>
      <c r="Y121" s="3">
        <v>174591</v>
      </c>
      <c r="Z121" s="3"/>
      <c r="AA121" s="3">
        <v>2330092</v>
      </c>
      <c r="AB121" s="3"/>
      <c r="AC121" s="20">
        <f t="shared" si="4"/>
        <v>2504683</v>
      </c>
      <c r="AD121" s="13"/>
      <c r="AE121" s="3">
        <f t="shared" si="7"/>
        <v>0</v>
      </c>
    </row>
    <row r="122" spans="1:31">
      <c r="A122" s="13" t="s">
        <v>336</v>
      </c>
      <c r="B122" s="13"/>
      <c r="C122" s="13" t="s">
        <v>197</v>
      </c>
      <c r="E122" s="3">
        <v>1189760</v>
      </c>
      <c r="F122" s="3"/>
      <c r="G122" s="3">
        <v>0</v>
      </c>
      <c r="H122" s="3"/>
      <c r="I122" s="7">
        <f t="shared" si="5"/>
        <v>2408335</v>
      </c>
      <c r="J122" s="3"/>
      <c r="K122" s="3">
        <v>3598095</v>
      </c>
      <c r="L122" s="3"/>
      <c r="M122" s="7">
        <f t="shared" si="6"/>
        <v>2330636</v>
      </c>
      <c r="N122" s="3"/>
      <c r="O122" s="3">
        <v>1134392</v>
      </c>
      <c r="P122" s="3"/>
      <c r="Q122" s="3">
        <v>3465028</v>
      </c>
      <c r="R122" s="3"/>
      <c r="S122" s="3">
        <v>5626</v>
      </c>
      <c r="T122" s="3"/>
      <c r="U122" s="3">
        <v>0</v>
      </c>
      <c r="V122" s="3"/>
      <c r="W122" s="3">
        <v>0</v>
      </c>
      <c r="X122" s="3"/>
      <c r="Y122" s="3">
        <f>9580+53197+62900+1764</f>
        <v>127441</v>
      </c>
      <c r="Z122" s="3"/>
      <c r="AA122" s="3">
        <v>0</v>
      </c>
      <c r="AB122" s="3"/>
      <c r="AC122" s="20">
        <f t="shared" si="4"/>
        <v>133067</v>
      </c>
      <c r="AD122" s="13"/>
      <c r="AE122" s="3">
        <f t="shared" si="7"/>
        <v>0</v>
      </c>
    </row>
    <row r="123" spans="1:31">
      <c r="A123" s="3" t="s">
        <v>337</v>
      </c>
      <c r="B123" s="13"/>
      <c r="C123" s="13" t="s">
        <v>198</v>
      </c>
      <c r="E123" s="3">
        <v>4637909</v>
      </c>
      <c r="F123" s="3"/>
      <c r="G123" s="3">
        <v>0</v>
      </c>
      <c r="H123" s="3"/>
      <c r="I123" s="7">
        <f t="shared" si="5"/>
        <v>3420992</v>
      </c>
      <c r="J123" s="3"/>
      <c r="K123" s="3">
        <v>8058901</v>
      </c>
      <c r="L123" s="3"/>
      <c r="M123" s="7">
        <f t="shared" si="6"/>
        <v>1626988</v>
      </c>
      <c r="N123" s="3"/>
      <c r="O123" s="3">
        <v>2076296</v>
      </c>
      <c r="P123" s="3"/>
      <c r="Q123" s="3">
        <v>3703284</v>
      </c>
      <c r="R123" s="3"/>
      <c r="S123" s="3">
        <v>0</v>
      </c>
      <c r="T123" s="3"/>
      <c r="U123" s="3">
        <v>0</v>
      </c>
      <c r="V123" s="3"/>
      <c r="W123" s="3">
        <v>0</v>
      </c>
      <c r="X123" s="3"/>
      <c r="Y123" s="3">
        <v>50155</v>
      </c>
      <c r="Z123" s="3"/>
      <c r="AA123" s="3">
        <v>4305462</v>
      </c>
      <c r="AB123" s="3"/>
      <c r="AC123" s="20">
        <f t="shared" si="4"/>
        <v>4355617</v>
      </c>
      <c r="AD123" s="13"/>
      <c r="AE123" s="3">
        <f t="shared" si="7"/>
        <v>0</v>
      </c>
    </row>
    <row r="124" spans="1:31" hidden="1">
      <c r="A124" s="3" t="s">
        <v>362</v>
      </c>
      <c r="B124" s="13"/>
      <c r="C124" s="13" t="s">
        <v>205</v>
      </c>
      <c r="E124" s="3">
        <v>0</v>
      </c>
      <c r="F124" s="3"/>
      <c r="G124" s="3">
        <v>0</v>
      </c>
      <c r="H124" s="3"/>
      <c r="I124" s="7">
        <f t="shared" si="5"/>
        <v>0</v>
      </c>
      <c r="J124" s="3"/>
      <c r="K124" s="3">
        <v>0</v>
      </c>
      <c r="L124" s="3"/>
      <c r="M124" s="7">
        <f t="shared" si="6"/>
        <v>0</v>
      </c>
      <c r="N124" s="3"/>
      <c r="O124" s="3">
        <v>0</v>
      </c>
      <c r="P124" s="3"/>
      <c r="Q124" s="3">
        <v>0</v>
      </c>
      <c r="R124" s="3"/>
      <c r="S124" s="3">
        <v>0</v>
      </c>
      <c r="T124" s="3"/>
      <c r="U124" s="3">
        <v>0</v>
      </c>
      <c r="V124" s="3"/>
      <c r="W124" s="3">
        <v>0</v>
      </c>
      <c r="X124" s="3"/>
      <c r="Y124" s="3">
        <v>0</v>
      </c>
      <c r="Z124" s="3"/>
      <c r="AA124" s="3">
        <v>0</v>
      </c>
      <c r="AB124" s="3"/>
      <c r="AC124" s="20">
        <f t="shared" si="4"/>
        <v>0</v>
      </c>
      <c r="AD124" s="13"/>
      <c r="AE124" s="3">
        <f t="shared" si="7"/>
        <v>0</v>
      </c>
    </row>
    <row r="125" spans="1:31">
      <c r="A125" s="3" t="s">
        <v>339</v>
      </c>
      <c r="B125" s="13"/>
      <c r="C125" s="13" t="s">
        <v>199</v>
      </c>
      <c r="E125" s="3">
        <v>6267467</v>
      </c>
      <c r="F125" s="3"/>
      <c r="G125" s="3">
        <v>0</v>
      </c>
      <c r="H125" s="3"/>
      <c r="I125" s="7">
        <f t="shared" si="5"/>
        <v>1376949</v>
      </c>
      <c r="J125" s="3"/>
      <c r="K125" s="3">
        <v>7644416</v>
      </c>
      <c r="L125" s="3"/>
      <c r="M125" s="7">
        <f t="shared" si="6"/>
        <v>2349856</v>
      </c>
      <c r="N125" s="3"/>
      <c r="O125" s="3">
        <f>11505+685296</f>
        <v>696801</v>
      </c>
      <c r="P125" s="3"/>
      <c r="Q125" s="3">
        <v>3046657</v>
      </c>
      <c r="R125" s="3"/>
      <c r="S125" s="3">
        <v>23941</v>
      </c>
      <c r="T125" s="3"/>
      <c r="U125" s="3">
        <v>0</v>
      </c>
      <c r="V125" s="3"/>
      <c r="W125" s="3">
        <v>0</v>
      </c>
      <c r="X125" s="3"/>
      <c r="Y125" s="3">
        <f>1389+27898+2659</f>
        <v>31946</v>
      </c>
      <c r="Z125" s="3"/>
      <c r="AA125" s="3">
        <v>4541872</v>
      </c>
      <c r="AB125" s="3"/>
      <c r="AC125" s="20">
        <f t="shared" si="4"/>
        <v>4597759</v>
      </c>
      <c r="AD125" s="13"/>
      <c r="AE125" s="3">
        <f t="shared" si="7"/>
        <v>0</v>
      </c>
    </row>
    <row r="126" spans="1:31" hidden="1">
      <c r="A126" s="3" t="s">
        <v>307</v>
      </c>
      <c r="B126" s="13"/>
      <c r="C126" s="13" t="s">
        <v>200</v>
      </c>
      <c r="E126" s="3">
        <v>0</v>
      </c>
      <c r="F126" s="3"/>
      <c r="G126" s="3">
        <v>0</v>
      </c>
      <c r="H126" s="3"/>
      <c r="I126" s="7">
        <f t="shared" si="5"/>
        <v>0</v>
      </c>
      <c r="J126" s="3"/>
      <c r="K126" s="3">
        <v>0</v>
      </c>
      <c r="L126" s="3"/>
      <c r="M126" s="7">
        <f t="shared" si="6"/>
        <v>0</v>
      </c>
      <c r="N126" s="3"/>
      <c r="O126" s="3">
        <v>0</v>
      </c>
      <c r="P126" s="3"/>
      <c r="Q126" s="3">
        <v>0</v>
      </c>
      <c r="R126" s="3"/>
      <c r="S126" s="3">
        <v>0</v>
      </c>
      <c r="T126" s="3"/>
      <c r="U126" s="3">
        <v>0</v>
      </c>
      <c r="V126" s="3"/>
      <c r="W126" s="3">
        <v>0</v>
      </c>
      <c r="X126" s="3"/>
      <c r="Y126" s="3">
        <v>0</v>
      </c>
      <c r="Z126" s="3"/>
      <c r="AA126" s="3">
        <v>0</v>
      </c>
      <c r="AB126" s="3"/>
      <c r="AC126" s="20">
        <f t="shared" si="4"/>
        <v>0</v>
      </c>
      <c r="AD126" s="13"/>
      <c r="AE126" s="3">
        <f t="shared" si="7"/>
        <v>0</v>
      </c>
    </row>
    <row r="127" spans="1:31" hidden="1">
      <c r="A127" s="3" t="s">
        <v>341</v>
      </c>
      <c r="B127" s="13"/>
      <c r="C127" s="13" t="s">
        <v>203</v>
      </c>
      <c r="E127" s="3">
        <v>0</v>
      </c>
      <c r="F127" s="3"/>
      <c r="G127" s="3">
        <v>0</v>
      </c>
      <c r="H127" s="3"/>
      <c r="I127" s="7">
        <f t="shared" si="5"/>
        <v>0</v>
      </c>
      <c r="J127" s="3"/>
      <c r="K127" s="3">
        <v>0</v>
      </c>
      <c r="L127" s="3"/>
      <c r="M127" s="7">
        <f t="shared" si="6"/>
        <v>0</v>
      </c>
      <c r="N127" s="3"/>
      <c r="O127" s="3">
        <v>0</v>
      </c>
      <c r="P127" s="3"/>
      <c r="Q127" s="3">
        <v>0</v>
      </c>
      <c r="R127" s="3"/>
      <c r="S127" s="3">
        <v>0</v>
      </c>
      <c r="T127" s="3"/>
      <c r="U127" s="3">
        <v>0</v>
      </c>
      <c r="V127" s="3"/>
      <c r="W127" s="3">
        <v>0</v>
      </c>
      <c r="X127" s="3"/>
      <c r="Y127" s="3">
        <v>0</v>
      </c>
      <c r="Z127" s="3"/>
      <c r="AA127" s="3">
        <v>0</v>
      </c>
      <c r="AB127" s="3"/>
      <c r="AC127" s="20">
        <f t="shared" si="4"/>
        <v>0</v>
      </c>
      <c r="AD127" s="13"/>
      <c r="AE127" s="3">
        <f t="shared" si="7"/>
        <v>0</v>
      </c>
    </row>
    <row r="128" spans="1:31" hidden="1">
      <c r="A128" s="3" t="s">
        <v>308</v>
      </c>
      <c r="B128" s="13"/>
      <c r="C128" s="13" t="s">
        <v>204</v>
      </c>
      <c r="E128" s="27">
        <v>0</v>
      </c>
      <c r="F128" s="27"/>
      <c r="G128" s="27">
        <v>0</v>
      </c>
      <c r="H128" s="27"/>
      <c r="I128" s="7">
        <f t="shared" ref="I128" si="10">+K128-G128-E128</f>
        <v>0</v>
      </c>
      <c r="J128" s="3"/>
      <c r="K128" s="27">
        <v>0</v>
      </c>
      <c r="L128" s="3"/>
      <c r="M128" s="7">
        <f t="shared" ref="M128" si="11">+Q128-O128</f>
        <v>0</v>
      </c>
      <c r="N128" s="27"/>
      <c r="O128" s="27">
        <v>0</v>
      </c>
      <c r="P128" s="27"/>
      <c r="Q128" s="27">
        <v>0</v>
      </c>
      <c r="R128" s="27"/>
      <c r="S128" s="27">
        <v>0</v>
      </c>
      <c r="T128" s="27"/>
      <c r="U128" s="27">
        <v>0</v>
      </c>
      <c r="V128" s="27"/>
      <c r="W128" s="27">
        <v>0</v>
      </c>
      <c r="X128" s="27"/>
      <c r="Y128" s="27">
        <v>0</v>
      </c>
      <c r="Z128" s="3"/>
      <c r="AA128" s="27">
        <v>0</v>
      </c>
      <c r="AB128" s="3"/>
      <c r="AC128" s="20">
        <f t="shared" si="4"/>
        <v>0</v>
      </c>
      <c r="AD128" s="13"/>
      <c r="AE128" s="3">
        <f t="shared" si="7"/>
        <v>0</v>
      </c>
    </row>
    <row r="129" spans="1:31">
      <c r="A129" s="3" t="s">
        <v>201</v>
      </c>
      <c r="B129" s="13"/>
      <c r="C129" s="13" t="s">
        <v>261</v>
      </c>
      <c r="E129" s="3">
        <v>779668</v>
      </c>
      <c r="F129" s="3"/>
      <c r="G129" s="3">
        <v>0</v>
      </c>
      <c r="H129" s="3"/>
      <c r="I129" s="7">
        <f>+K129-G129-E129</f>
        <v>41987</v>
      </c>
      <c r="J129" s="3"/>
      <c r="K129" s="3">
        <v>821655</v>
      </c>
      <c r="L129" s="3"/>
      <c r="M129" s="7">
        <f>+Q129-O129</f>
        <v>419317</v>
      </c>
      <c r="N129" s="3"/>
      <c r="O129" s="3">
        <v>0</v>
      </c>
      <c r="P129" s="3"/>
      <c r="Q129" s="3">
        <v>419317</v>
      </c>
      <c r="R129" s="3"/>
      <c r="S129" s="3">
        <v>0</v>
      </c>
      <c r="T129" s="3"/>
      <c r="U129" s="3">
        <v>1158</v>
      </c>
      <c r="V129" s="3"/>
      <c r="W129" s="3">
        <v>0</v>
      </c>
      <c r="X129" s="3"/>
      <c r="Y129" s="3">
        <v>162940</v>
      </c>
      <c r="Z129" s="3"/>
      <c r="AA129" s="3">
        <v>238240</v>
      </c>
      <c r="AB129" s="3"/>
      <c r="AC129" s="20">
        <f t="shared" si="4"/>
        <v>402338</v>
      </c>
      <c r="AD129" s="13"/>
      <c r="AE129" s="3">
        <f t="shared" si="7"/>
        <v>0</v>
      </c>
    </row>
    <row r="130" spans="1:31">
      <c r="A130" s="3" t="s">
        <v>340</v>
      </c>
      <c r="B130" s="13"/>
      <c r="C130" s="13" t="s">
        <v>206</v>
      </c>
      <c r="E130" s="3">
        <v>3319552</v>
      </c>
      <c r="F130" s="3"/>
      <c r="G130" s="3">
        <v>0</v>
      </c>
      <c r="H130" s="3"/>
      <c r="I130" s="7">
        <f t="shared" si="5"/>
        <v>79615</v>
      </c>
      <c r="J130" s="3"/>
      <c r="K130" s="3">
        <v>3399167</v>
      </c>
      <c r="L130" s="3"/>
      <c r="M130" s="7">
        <f t="shared" si="6"/>
        <v>1445998</v>
      </c>
      <c r="N130" s="3"/>
      <c r="O130" s="3">
        <v>7991</v>
      </c>
      <c r="P130" s="3"/>
      <c r="Q130" s="3">
        <v>1453989</v>
      </c>
      <c r="R130" s="3"/>
      <c r="S130" s="3">
        <v>1587</v>
      </c>
      <c r="T130" s="3"/>
      <c r="U130" s="3">
        <v>0</v>
      </c>
      <c r="V130" s="3"/>
      <c r="W130" s="3">
        <v>0</v>
      </c>
      <c r="X130" s="3"/>
      <c r="Y130" s="3">
        <v>54669</v>
      </c>
      <c r="Z130" s="3"/>
      <c r="AA130" s="3">
        <v>1888922</v>
      </c>
      <c r="AB130" s="3"/>
      <c r="AC130" s="20">
        <f t="shared" si="4"/>
        <v>1945178</v>
      </c>
      <c r="AD130" s="13"/>
      <c r="AE130" s="3">
        <f t="shared" si="7"/>
        <v>0</v>
      </c>
    </row>
    <row r="133" spans="1:31">
      <c r="E133" s="3"/>
      <c r="F133" s="3"/>
      <c r="G133" s="3"/>
      <c r="H133" s="3"/>
      <c r="I133" s="7"/>
      <c r="J133" s="3"/>
      <c r="K133" s="3"/>
      <c r="L133" s="3"/>
      <c r="M133" s="7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20"/>
    </row>
  </sheetData>
  <mergeCells count="3">
    <mergeCell ref="E7:I7"/>
    <mergeCell ref="M7:O7"/>
    <mergeCell ref="S7:AA7"/>
  </mergeCells>
  <phoneticPr fontId="3" type="noConversion"/>
  <pageMargins left="0.9" right="0.75" top="0.5" bottom="0.5" header="0.25" footer="0.25"/>
  <pageSetup scale="80" firstPageNumber="22" pageOrder="overThenDown" orientation="portrait" useFirstPageNumber="1" r:id="rId1"/>
  <headerFooter scaleWithDoc="0" alignWithMargins="0"/>
  <rowBreaks count="1" manualBreakCount="1">
    <brk id="66" max="30" man="1"/>
  </rowBreaks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4"/>
  <sheetViews>
    <sheetView view="pageBreakPreview" zoomScaleNormal="100" zoomScaleSheetLayoutView="100" workbookViewId="0">
      <pane xSplit="4" ySplit="10" topLeftCell="E11" activePane="bottomRight" state="frozen"/>
      <selection activeCell="M146" sqref="M146"/>
      <selection pane="topRight" activeCell="M146" sqref="M146"/>
      <selection pane="bottomLeft" activeCell="M146" sqref="M146"/>
      <selection pane="bottomRight" activeCell="A3" sqref="A3"/>
    </sheetView>
  </sheetViews>
  <sheetFormatPr defaultRowHeight="12"/>
  <cols>
    <col min="1" max="1" width="40.7109375" style="24" customWidth="1"/>
    <col min="2" max="2" width="1.7109375" style="24" customWidth="1"/>
    <col min="3" max="3" width="10.140625" style="24" bestFit="1" customWidth="1"/>
    <col min="4" max="4" width="1.7109375" style="24" customWidth="1"/>
    <col min="5" max="5" width="11.7109375" style="24" customWidth="1"/>
    <col min="6" max="6" width="1.7109375" style="24" customWidth="1"/>
    <col min="7" max="7" width="11.7109375" style="24" customWidth="1"/>
    <col min="8" max="8" width="1.7109375" style="24" customWidth="1"/>
    <col min="9" max="9" width="11.7109375" style="24" customWidth="1"/>
    <col min="10" max="10" width="1.7109375" style="24" customWidth="1"/>
    <col min="11" max="11" width="11.7109375" style="24" customWidth="1"/>
    <col min="12" max="12" width="1.7109375" style="24" customWidth="1"/>
    <col min="13" max="13" width="11.7109375" style="24" customWidth="1"/>
    <col min="14" max="14" width="1.7109375" style="24" customWidth="1"/>
    <col min="15" max="15" width="11.7109375" style="24" customWidth="1"/>
    <col min="16" max="16" width="1.7109375" style="24" customWidth="1"/>
    <col min="17" max="17" width="11.7109375" style="24" customWidth="1"/>
    <col min="18" max="18" width="1.7109375" style="24" customWidth="1"/>
    <col min="19" max="19" width="11.7109375" style="24" customWidth="1"/>
    <col min="20" max="20" width="1.7109375" style="24" customWidth="1"/>
    <col min="21" max="21" width="11.7109375" style="24" customWidth="1"/>
    <col min="22" max="22" width="1.7109375" style="24" customWidth="1"/>
    <col min="23" max="23" width="11.7109375" style="24" customWidth="1"/>
    <col min="24" max="24" width="1.7109375" style="24" hidden="1" customWidth="1"/>
    <col min="25" max="25" width="11.7109375" style="24" hidden="1" customWidth="1"/>
    <col min="26" max="26" width="1.28515625" style="24" customWidth="1"/>
    <col min="27" max="27" width="11.7109375" style="24" customWidth="1"/>
    <col min="28" max="28" width="1.7109375" style="24" customWidth="1"/>
    <col min="29" max="29" width="40.7109375" style="24" customWidth="1"/>
    <col min="30" max="30" width="1.7109375" style="24" customWidth="1"/>
    <col min="31" max="31" width="13.140625" style="24" customWidth="1"/>
    <col min="32" max="32" width="1.28515625" style="24" hidden="1" customWidth="1"/>
    <col min="33" max="33" width="11.7109375" style="24" hidden="1" customWidth="1"/>
    <col min="34" max="34" width="1.28515625" style="24" customWidth="1"/>
    <col min="35" max="35" width="11.7109375" style="24" customWidth="1"/>
    <col min="36" max="36" width="1.28515625" style="24" customWidth="1"/>
    <col min="37" max="37" width="11.7109375" style="24" customWidth="1"/>
    <col min="38" max="38" width="1.28515625" style="24" hidden="1" customWidth="1"/>
    <col min="39" max="39" width="11.7109375" style="24" hidden="1" customWidth="1"/>
    <col min="40" max="40" width="1.28515625" style="24" customWidth="1"/>
    <col min="41" max="41" width="11.7109375" style="24" customWidth="1"/>
    <col min="42" max="42" width="1.7109375" style="24" customWidth="1"/>
    <col min="43" max="43" width="11.7109375" style="24" customWidth="1"/>
    <col min="44" max="44" width="1.7109375" style="24" hidden="1" customWidth="1"/>
    <col min="45" max="45" width="11.7109375" style="24" hidden="1" customWidth="1"/>
    <col min="46" max="46" width="1.7109375" style="24" customWidth="1"/>
    <col min="47" max="47" width="14.42578125" style="24" customWidth="1"/>
    <col min="48" max="16384" width="9.140625" style="24"/>
  </cols>
  <sheetData>
    <row r="1" spans="1:48" s="6" customFormat="1">
      <c r="A1" s="4" t="s">
        <v>97</v>
      </c>
      <c r="B1" s="4"/>
      <c r="C1" s="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AC1" s="4" t="s">
        <v>97</v>
      </c>
      <c r="AD1" s="4"/>
      <c r="AE1" s="4"/>
    </row>
    <row r="2" spans="1:48" s="6" customFormat="1">
      <c r="A2" s="4" t="s">
        <v>351</v>
      </c>
      <c r="B2" s="4"/>
      <c r="C2" s="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AC2" s="4" t="s">
        <v>351</v>
      </c>
      <c r="AD2" s="4"/>
      <c r="AE2" s="4"/>
    </row>
    <row r="3" spans="1:48" s="3" customFormat="1">
      <c r="A3" s="28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C3" s="32"/>
      <c r="AD3" s="5"/>
      <c r="AE3" s="5"/>
    </row>
    <row r="4" spans="1:48" s="3" customFormat="1">
      <c r="A4" s="6" t="s">
        <v>260</v>
      </c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AC4" s="6" t="s">
        <v>260</v>
      </c>
      <c r="AD4" s="4"/>
      <c r="AE4" s="4"/>
    </row>
    <row r="5" spans="1:48" s="3" customFormat="1">
      <c r="A5" s="28"/>
    </row>
    <row r="6" spans="1:48" s="3" customFormat="1">
      <c r="A6" s="26" t="s">
        <v>317</v>
      </c>
      <c r="AC6" s="26" t="s">
        <v>317</v>
      </c>
      <c r="AU6" s="10" t="s">
        <v>8</v>
      </c>
    </row>
    <row r="7" spans="1:48" s="10" customFormat="1">
      <c r="B7" s="2"/>
      <c r="C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4" t="s">
        <v>98</v>
      </c>
      <c r="X7" s="34"/>
      <c r="Y7" s="34"/>
      <c r="Z7" s="34"/>
      <c r="AA7" s="34"/>
      <c r="AB7" s="6"/>
      <c r="AC7" s="26"/>
      <c r="AD7" s="4"/>
      <c r="AE7" s="4"/>
      <c r="AF7" s="35"/>
      <c r="AG7" s="35"/>
      <c r="AH7" s="52"/>
      <c r="AI7" s="34" t="s">
        <v>346</v>
      </c>
      <c r="AJ7" s="35"/>
      <c r="AK7" s="35"/>
      <c r="AL7" s="35"/>
      <c r="AM7" s="35"/>
      <c r="AN7" s="35"/>
      <c r="AO7" s="35"/>
      <c r="AS7" s="10" t="s">
        <v>8</v>
      </c>
      <c r="AU7" s="10" t="s">
        <v>274</v>
      </c>
    </row>
    <row r="8" spans="1:48" s="10" customFormat="1">
      <c r="B8" s="2"/>
      <c r="C8" s="2"/>
      <c r="E8" s="2"/>
      <c r="F8" s="2"/>
      <c r="G8" s="2"/>
      <c r="H8" s="2"/>
      <c r="I8" s="2"/>
      <c r="J8" s="2"/>
      <c r="K8" s="2"/>
      <c r="L8" s="2"/>
      <c r="M8" s="2" t="s">
        <v>28</v>
      </c>
      <c r="N8" s="2"/>
      <c r="O8" s="2" t="s">
        <v>99</v>
      </c>
      <c r="P8" s="2"/>
      <c r="Q8" s="2" t="s">
        <v>30</v>
      </c>
      <c r="R8" s="2"/>
      <c r="S8" s="2"/>
      <c r="T8" s="2"/>
      <c r="U8" s="2"/>
      <c r="V8" s="2"/>
      <c r="AD8" s="2"/>
      <c r="AE8" s="2"/>
      <c r="AI8" s="10" t="s">
        <v>234</v>
      </c>
      <c r="AK8" s="10" t="s">
        <v>223</v>
      </c>
      <c r="AM8" s="10" t="s">
        <v>230</v>
      </c>
      <c r="AO8" s="10" t="s">
        <v>69</v>
      </c>
      <c r="AS8" s="10" t="s">
        <v>84</v>
      </c>
      <c r="AU8" s="10" t="s">
        <v>275</v>
      </c>
    </row>
    <row r="9" spans="1:48" s="10" customFormat="1">
      <c r="B9" s="2"/>
      <c r="C9" s="2"/>
      <c r="E9" s="2" t="s">
        <v>34</v>
      </c>
      <c r="F9" s="2"/>
      <c r="G9" s="2" t="s">
        <v>100</v>
      </c>
      <c r="H9" s="2"/>
      <c r="I9" s="2"/>
      <c r="J9" s="2"/>
      <c r="K9" s="2" t="s">
        <v>37</v>
      </c>
      <c r="L9" s="2"/>
      <c r="M9" s="2" t="s">
        <v>38</v>
      </c>
      <c r="N9" s="2"/>
      <c r="O9" s="2" t="s">
        <v>101</v>
      </c>
      <c r="P9" s="2"/>
      <c r="Q9" s="2" t="s">
        <v>40</v>
      </c>
      <c r="R9" s="2"/>
      <c r="S9" s="2" t="s">
        <v>69</v>
      </c>
      <c r="T9" s="2"/>
      <c r="U9" s="2" t="s">
        <v>8</v>
      </c>
      <c r="V9" s="2"/>
      <c r="W9" s="2"/>
      <c r="AA9" s="10" t="s">
        <v>102</v>
      </c>
      <c r="AC9" s="2"/>
      <c r="AD9" s="2"/>
      <c r="AE9" s="2"/>
      <c r="AG9" s="10" t="s">
        <v>103</v>
      </c>
      <c r="AI9" s="10" t="s">
        <v>6</v>
      </c>
      <c r="AK9" s="10" t="s">
        <v>225</v>
      </c>
      <c r="AM9" s="10" t="s">
        <v>231</v>
      </c>
      <c r="AO9" s="10" t="s">
        <v>104</v>
      </c>
      <c r="AQ9" s="10" t="s">
        <v>352</v>
      </c>
      <c r="AS9" s="10" t="s">
        <v>104</v>
      </c>
      <c r="AU9" s="10" t="s">
        <v>355</v>
      </c>
    </row>
    <row r="10" spans="1:48" s="10" customFormat="1">
      <c r="A10" s="57" t="s">
        <v>282</v>
      </c>
      <c r="C10" s="57" t="s">
        <v>12</v>
      </c>
      <c r="E10" s="57" t="s">
        <v>46</v>
      </c>
      <c r="F10" s="2"/>
      <c r="G10" s="57" t="s">
        <v>105</v>
      </c>
      <c r="H10" s="2"/>
      <c r="I10" s="57" t="s">
        <v>85</v>
      </c>
      <c r="J10" s="2"/>
      <c r="K10" s="57" t="s">
        <v>49</v>
      </c>
      <c r="L10" s="2"/>
      <c r="M10" s="57" t="s">
        <v>50</v>
      </c>
      <c r="N10" s="2"/>
      <c r="O10" s="57" t="s">
        <v>106</v>
      </c>
      <c r="P10" s="2"/>
      <c r="Q10" s="57" t="s">
        <v>51</v>
      </c>
      <c r="R10" s="2"/>
      <c r="S10" s="57" t="s">
        <v>95</v>
      </c>
      <c r="T10" s="2"/>
      <c r="U10" s="57" t="s">
        <v>31</v>
      </c>
      <c r="V10" s="2"/>
      <c r="W10" s="57" t="s">
        <v>107</v>
      </c>
      <c r="Y10" s="57" t="s">
        <v>108</v>
      </c>
      <c r="Z10" s="2"/>
      <c r="AA10" s="57" t="s">
        <v>109</v>
      </c>
      <c r="AC10" s="57" t="s">
        <v>282</v>
      </c>
      <c r="AE10" s="57" t="s">
        <v>12</v>
      </c>
      <c r="AG10" s="57" t="s">
        <v>109</v>
      </c>
      <c r="AI10" s="57" t="s">
        <v>224</v>
      </c>
      <c r="AK10" s="57" t="s">
        <v>17</v>
      </c>
      <c r="AM10" s="57" t="s">
        <v>116</v>
      </c>
      <c r="AO10" s="57" t="s">
        <v>110</v>
      </c>
      <c r="AQ10" s="57" t="s">
        <v>239</v>
      </c>
      <c r="AS10" s="57" t="s">
        <v>110</v>
      </c>
      <c r="AU10" s="57" t="s">
        <v>239</v>
      </c>
      <c r="AV10" s="59"/>
    </row>
    <row r="11" spans="1:48" s="10" customFormat="1">
      <c r="A11" s="2"/>
      <c r="C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Y11" s="2"/>
      <c r="Z11" s="2"/>
      <c r="AA11" s="2"/>
      <c r="AC11" s="2"/>
      <c r="AE11" s="2"/>
      <c r="AG11" s="2"/>
      <c r="AI11" s="2"/>
      <c r="AK11" s="2"/>
      <c r="AM11" s="2"/>
      <c r="AO11" s="2"/>
      <c r="AQ11" s="2"/>
      <c r="AS11" s="2"/>
      <c r="AU11" s="2"/>
    </row>
    <row r="12" spans="1:48">
      <c r="A12" s="29" t="s">
        <v>255</v>
      </c>
      <c r="AC12" s="29" t="s">
        <v>255</v>
      </c>
    </row>
    <row r="13" spans="1:48">
      <c r="A13" s="29"/>
      <c r="AC13" s="29"/>
    </row>
    <row r="14" spans="1:48">
      <c r="A14" s="3" t="s">
        <v>288</v>
      </c>
      <c r="B14" s="3"/>
      <c r="C14" s="3" t="s">
        <v>263</v>
      </c>
      <c r="E14" s="17">
        <v>2848945</v>
      </c>
      <c r="F14" s="17"/>
      <c r="G14" s="17">
        <v>6320909</v>
      </c>
      <c r="H14" s="17"/>
      <c r="I14" s="17">
        <v>77778</v>
      </c>
      <c r="J14" s="17"/>
      <c r="K14" s="17">
        <f>657400+86766</f>
        <v>744166</v>
      </c>
      <c r="L14" s="17"/>
      <c r="M14" s="17">
        <v>0</v>
      </c>
      <c r="N14" s="17"/>
      <c r="O14" s="17">
        <v>0</v>
      </c>
      <c r="P14" s="17"/>
      <c r="Q14" s="17">
        <v>0</v>
      </c>
      <c r="R14" s="17"/>
      <c r="S14" s="17">
        <v>111110</v>
      </c>
      <c r="T14" s="17"/>
      <c r="U14" s="64">
        <f>SUM(E14:T14)</f>
        <v>10102908</v>
      </c>
      <c r="V14" s="17"/>
      <c r="W14" s="17">
        <v>0</v>
      </c>
      <c r="X14" s="17"/>
      <c r="Y14" s="17">
        <v>0</v>
      </c>
      <c r="Z14" s="17"/>
      <c r="AA14" s="17">
        <v>0</v>
      </c>
      <c r="AB14" s="17"/>
      <c r="AC14" s="3" t="s">
        <v>288</v>
      </c>
      <c r="AD14" s="3"/>
      <c r="AE14" s="3" t="s">
        <v>263</v>
      </c>
      <c r="AF14" s="17"/>
      <c r="AG14" s="17">
        <v>0</v>
      </c>
      <c r="AH14" s="17"/>
      <c r="AI14" s="17">
        <v>0</v>
      </c>
      <c r="AJ14" s="17"/>
      <c r="AK14" s="17">
        <v>0</v>
      </c>
      <c r="AL14" s="17"/>
      <c r="AM14" s="17">
        <v>0</v>
      </c>
      <c r="AN14" s="17"/>
      <c r="AO14" s="17">
        <v>0</v>
      </c>
      <c r="AP14" s="17"/>
      <c r="AQ14" s="17">
        <v>0</v>
      </c>
      <c r="AR14" s="17"/>
      <c r="AS14" s="17">
        <f t="shared" ref="AS14:AS45" si="0">SUM(W14:AQ14)</f>
        <v>0</v>
      </c>
      <c r="AT14" s="17"/>
      <c r="AU14" s="17">
        <f t="shared" ref="AU14:AU45" si="1">+AS14+U14</f>
        <v>10102908</v>
      </c>
    </row>
    <row r="15" spans="1:48">
      <c r="A15" s="3" t="s">
        <v>241</v>
      </c>
      <c r="B15" s="13"/>
      <c r="C15" s="13" t="s">
        <v>145</v>
      </c>
      <c r="E15" s="3">
        <v>1981153</v>
      </c>
      <c r="F15" s="3"/>
      <c r="G15" s="3">
        <v>2933016</v>
      </c>
      <c r="H15" s="3"/>
      <c r="I15" s="3">
        <v>7616</v>
      </c>
      <c r="J15" s="3"/>
      <c r="K15" s="3">
        <f>69137+3025+41341</f>
        <v>113503</v>
      </c>
      <c r="L15" s="3"/>
      <c r="M15" s="3">
        <v>0</v>
      </c>
      <c r="N15" s="3"/>
      <c r="O15" s="3">
        <v>0</v>
      </c>
      <c r="P15" s="3"/>
      <c r="Q15" s="3">
        <v>348</v>
      </c>
      <c r="R15" s="3"/>
      <c r="S15" s="3">
        <v>19590</v>
      </c>
      <c r="T15" s="3"/>
      <c r="U15" s="7">
        <f>SUM(E15:T15)</f>
        <v>5055226</v>
      </c>
      <c r="V15" s="3"/>
      <c r="W15" s="3">
        <v>0</v>
      </c>
      <c r="X15" s="3"/>
      <c r="Y15" s="3">
        <v>0</v>
      </c>
      <c r="Z15" s="3"/>
      <c r="AA15" s="3">
        <v>0</v>
      </c>
      <c r="AB15" s="17"/>
      <c r="AC15" s="3" t="s">
        <v>241</v>
      </c>
      <c r="AD15" s="13"/>
      <c r="AE15" s="13" t="s">
        <v>145</v>
      </c>
      <c r="AF15" s="17"/>
      <c r="AG15" s="17">
        <v>0</v>
      </c>
      <c r="AH15" s="17"/>
      <c r="AI15" s="3">
        <v>0</v>
      </c>
      <c r="AJ15" s="3"/>
      <c r="AK15" s="3">
        <v>0</v>
      </c>
      <c r="AL15" s="3"/>
      <c r="AM15" s="3">
        <v>0</v>
      </c>
      <c r="AN15" s="3"/>
      <c r="AO15" s="3">
        <v>0</v>
      </c>
      <c r="AP15" s="3"/>
      <c r="AQ15" s="3">
        <v>0</v>
      </c>
      <c r="AR15" s="3"/>
      <c r="AS15" s="3">
        <f t="shared" si="0"/>
        <v>0</v>
      </c>
      <c r="AT15" s="3"/>
      <c r="AU15" s="3">
        <f t="shared" si="1"/>
        <v>5055226</v>
      </c>
    </row>
    <row r="16" spans="1:48">
      <c r="A16" s="3" t="s">
        <v>356</v>
      </c>
      <c r="B16" s="13"/>
      <c r="C16" s="13" t="s">
        <v>146</v>
      </c>
      <c r="E16" s="3">
        <v>3662979</v>
      </c>
      <c r="F16" s="3"/>
      <c r="G16" s="3">
        <v>6175239</v>
      </c>
      <c r="H16" s="3"/>
      <c r="I16" s="3">
        <v>29415</v>
      </c>
      <c r="J16" s="3"/>
      <c r="K16" s="3">
        <f>59643+104913+4080</f>
        <v>168636</v>
      </c>
      <c r="L16" s="3"/>
      <c r="M16" s="3">
        <v>0</v>
      </c>
      <c r="N16" s="3"/>
      <c r="O16" s="3">
        <v>0</v>
      </c>
      <c r="P16" s="3"/>
      <c r="Q16" s="3">
        <v>0</v>
      </c>
      <c r="R16" s="3"/>
      <c r="S16" s="3">
        <v>69408</v>
      </c>
      <c r="T16" s="3"/>
      <c r="U16" s="7">
        <f>SUM(E16:T16)</f>
        <v>10105677</v>
      </c>
      <c r="V16" s="3"/>
      <c r="W16" s="3">
        <v>0</v>
      </c>
      <c r="X16" s="3"/>
      <c r="Y16" s="3">
        <v>0</v>
      </c>
      <c r="Z16" s="3"/>
      <c r="AA16" s="3">
        <v>0</v>
      </c>
      <c r="AB16" s="3"/>
      <c r="AC16" s="3" t="s">
        <v>356</v>
      </c>
      <c r="AD16" s="13"/>
      <c r="AE16" s="13" t="s">
        <v>146</v>
      </c>
      <c r="AF16" s="3"/>
      <c r="AG16" s="3">
        <v>0</v>
      </c>
      <c r="AH16" s="3"/>
      <c r="AI16" s="3">
        <v>0</v>
      </c>
      <c r="AJ16" s="3"/>
      <c r="AK16" s="3">
        <v>0</v>
      </c>
      <c r="AL16" s="3"/>
      <c r="AM16" s="3">
        <v>0</v>
      </c>
      <c r="AN16" s="3"/>
      <c r="AO16" s="3">
        <v>0</v>
      </c>
      <c r="AP16" s="3"/>
      <c r="AQ16" s="3">
        <v>0</v>
      </c>
      <c r="AR16" s="3"/>
      <c r="AS16" s="3">
        <f t="shared" si="0"/>
        <v>0</v>
      </c>
      <c r="AT16" s="3"/>
      <c r="AU16" s="3">
        <f t="shared" si="1"/>
        <v>10105677</v>
      </c>
    </row>
    <row r="17" spans="1:47">
      <c r="A17" s="3" t="s">
        <v>294</v>
      </c>
      <c r="B17" s="13"/>
      <c r="C17" s="13" t="s">
        <v>148</v>
      </c>
      <c r="E17" s="3">
        <v>6166089</v>
      </c>
      <c r="F17" s="3"/>
      <c r="G17" s="3">
        <v>3022874</v>
      </c>
      <c r="H17" s="3"/>
      <c r="I17" s="3">
        <v>18553</v>
      </c>
      <c r="J17" s="3"/>
      <c r="K17" s="3">
        <f>19942+62123+124470</f>
        <v>206535</v>
      </c>
      <c r="L17" s="3"/>
      <c r="M17" s="3">
        <v>620</v>
      </c>
      <c r="N17" s="3"/>
      <c r="O17" s="3">
        <v>0</v>
      </c>
      <c r="P17" s="3"/>
      <c r="Q17" s="3">
        <v>1426</v>
      </c>
      <c r="R17" s="3"/>
      <c r="S17" s="3">
        <v>44794</v>
      </c>
      <c r="T17" s="3"/>
      <c r="U17" s="7">
        <f t="shared" ref="U17:U64" si="2">SUM(E17:T17)</f>
        <v>9460891</v>
      </c>
      <c r="V17" s="3"/>
      <c r="W17" s="3">
        <v>0</v>
      </c>
      <c r="X17" s="3"/>
      <c r="Y17" s="3">
        <v>0</v>
      </c>
      <c r="Z17" s="3"/>
      <c r="AA17" s="3">
        <v>0</v>
      </c>
      <c r="AB17" s="3"/>
      <c r="AC17" s="3" t="s">
        <v>294</v>
      </c>
      <c r="AD17" s="13"/>
      <c r="AE17" s="13" t="s">
        <v>148</v>
      </c>
      <c r="AF17" s="3"/>
      <c r="AG17" s="3">
        <v>0</v>
      </c>
      <c r="AH17" s="3"/>
      <c r="AI17" s="3">
        <v>0</v>
      </c>
      <c r="AJ17" s="3"/>
      <c r="AK17" s="3">
        <v>0</v>
      </c>
      <c r="AL17" s="3"/>
      <c r="AM17" s="3">
        <v>0</v>
      </c>
      <c r="AN17" s="3"/>
      <c r="AO17" s="3">
        <v>0</v>
      </c>
      <c r="AP17" s="3"/>
      <c r="AQ17" s="3">
        <v>0</v>
      </c>
      <c r="AR17" s="3"/>
      <c r="AS17" s="3">
        <f t="shared" si="0"/>
        <v>0</v>
      </c>
      <c r="AT17" s="3"/>
      <c r="AU17" s="3">
        <f t="shared" si="1"/>
        <v>9460891</v>
      </c>
    </row>
    <row r="18" spans="1:47">
      <c r="A18" s="3" t="s">
        <v>295</v>
      </c>
      <c r="B18" s="13"/>
      <c r="C18" s="13" t="s">
        <v>151</v>
      </c>
      <c r="E18" s="3">
        <v>1560007</v>
      </c>
      <c r="F18" s="3"/>
      <c r="G18" s="3">
        <v>4508022</v>
      </c>
      <c r="H18" s="3"/>
      <c r="I18" s="3">
        <v>5944</v>
      </c>
      <c r="J18" s="3"/>
      <c r="K18" s="3">
        <v>99296</v>
      </c>
      <c r="L18" s="3"/>
      <c r="M18" s="3">
        <v>7321</v>
      </c>
      <c r="N18" s="3"/>
      <c r="O18" s="3">
        <v>21833</v>
      </c>
      <c r="P18" s="3"/>
      <c r="Q18" s="3">
        <v>0</v>
      </c>
      <c r="R18" s="3"/>
      <c r="S18" s="3">
        <f>14690+25413+12000</f>
        <v>52103</v>
      </c>
      <c r="T18" s="3"/>
      <c r="U18" s="7">
        <f t="shared" si="2"/>
        <v>6254526</v>
      </c>
      <c r="V18" s="3"/>
      <c r="W18" s="3">
        <v>0</v>
      </c>
      <c r="X18" s="3"/>
      <c r="Y18" s="3">
        <v>0</v>
      </c>
      <c r="Z18" s="3"/>
      <c r="AA18" s="3">
        <v>0</v>
      </c>
      <c r="AB18" s="3"/>
      <c r="AC18" s="3" t="s">
        <v>295</v>
      </c>
      <c r="AD18" s="13"/>
      <c r="AE18" s="13" t="s">
        <v>151</v>
      </c>
      <c r="AF18" s="3"/>
      <c r="AG18" s="3">
        <v>0</v>
      </c>
      <c r="AH18" s="3"/>
      <c r="AI18" s="3">
        <v>0</v>
      </c>
      <c r="AJ18" s="3"/>
      <c r="AK18" s="3">
        <v>6324</v>
      </c>
      <c r="AL18" s="3"/>
      <c r="AM18" s="3">
        <v>0</v>
      </c>
      <c r="AN18" s="3"/>
      <c r="AO18" s="3">
        <v>0</v>
      </c>
      <c r="AP18" s="3"/>
      <c r="AQ18" s="3">
        <v>0</v>
      </c>
      <c r="AR18" s="3"/>
      <c r="AS18" s="3">
        <f t="shared" si="0"/>
        <v>6324</v>
      </c>
      <c r="AT18" s="3"/>
      <c r="AU18" s="3">
        <f t="shared" si="1"/>
        <v>6260850</v>
      </c>
    </row>
    <row r="19" spans="1:47">
      <c r="A19" s="3" t="s">
        <v>222</v>
      </c>
      <c r="B19" s="13"/>
      <c r="C19" s="13" t="s">
        <v>200</v>
      </c>
      <c r="E19" s="3">
        <v>4200335</v>
      </c>
      <c r="F19" s="3"/>
      <c r="G19" s="3">
        <v>7401195</v>
      </c>
      <c r="H19" s="3"/>
      <c r="I19" s="3">
        <v>78762</v>
      </c>
      <c r="J19" s="3"/>
      <c r="K19" s="3">
        <v>55321</v>
      </c>
      <c r="L19" s="3"/>
      <c r="M19" s="3">
        <v>0</v>
      </c>
      <c r="N19" s="3"/>
      <c r="O19" s="3">
        <v>0</v>
      </c>
      <c r="P19" s="3"/>
      <c r="Q19" s="3">
        <v>0</v>
      </c>
      <c r="R19" s="3"/>
      <c r="S19" s="3">
        <f>231603+314331</f>
        <v>545934</v>
      </c>
      <c r="T19" s="3"/>
      <c r="U19" s="7">
        <f t="shared" si="2"/>
        <v>12281547</v>
      </c>
      <c r="V19" s="3"/>
      <c r="W19" s="3">
        <v>0</v>
      </c>
      <c r="X19" s="3"/>
      <c r="Y19" s="3">
        <v>0</v>
      </c>
      <c r="Z19" s="3"/>
      <c r="AA19" s="3">
        <v>0</v>
      </c>
      <c r="AB19" s="3"/>
      <c r="AC19" s="3" t="s">
        <v>222</v>
      </c>
      <c r="AD19" s="13"/>
      <c r="AE19" s="13" t="s">
        <v>200</v>
      </c>
      <c r="AF19" s="3"/>
      <c r="AG19" s="3">
        <v>0</v>
      </c>
      <c r="AH19" s="3"/>
      <c r="AI19" s="3">
        <v>0</v>
      </c>
      <c r="AJ19" s="3"/>
      <c r="AK19" s="3">
        <v>0</v>
      </c>
      <c r="AL19" s="3"/>
      <c r="AM19" s="3">
        <v>0</v>
      </c>
      <c r="AN19" s="3"/>
      <c r="AO19" s="3">
        <v>0</v>
      </c>
      <c r="AP19" s="3"/>
      <c r="AQ19" s="3">
        <v>0</v>
      </c>
      <c r="AR19" s="3"/>
      <c r="AS19" s="3">
        <f t="shared" si="0"/>
        <v>0</v>
      </c>
      <c r="AT19" s="3"/>
      <c r="AU19" s="3">
        <f t="shared" si="1"/>
        <v>12281547</v>
      </c>
    </row>
    <row r="20" spans="1:47">
      <c r="A20" s="3" t="s">
        <v>366</v>
      </c>
      <c r="B20" s="13"/>
      <c r="C20" s="13" t="s">
        <v>149</v>
      </c>
      <c r="E20" s="3">
        <v>14319641</v>
      </c>
      <c r="F20" s="3"/>
      <c r="G20" s="3">
        <v>24848250</v>
      </c>
      <c r="H20" s="3"/>
      <c r="I20" s="3">
        <v>60854</v>
      </c>
      <c r="J20" s="3"/>
      <c r="K20" s="3">
        <v>747031</v>
      </c>
      <c r="L20" s="3"/>
      <c r="M20" s="3">
        <v>0</v>
      </c>
      <c r="N20" s="3"/>
      <c r="O20" s="3">
        <v>0</v>
      </c>
      <c r="P20" s="3"/>
      <c r="Q20" s="3">
        <v>0</v>
      </c>
      <c r="R20" s="3"/>
      <c r="S20" s="3">
        <v>152158</v>
      </c>
      <c r="T20" s="3"/>
      <c r="U20" s="7">
        <f t="shared" si="2"/>
        <v>40127934</v>
      </c>
      <c r="V20" s="3"/>
      <c r="W20" s="3">
        <v>53702</v>
      </c>
      <c r="X20" s="3"/>
      <c r="Y20" s="3">
        <v>0</v>
      </c>
      <c r="Z20" s="3"/>
      <c r="AA20" s="3">
        <v>0</v>
      </c>
      <c r="AB20" s="3"/>
      <c r="AC20" s="3" t="s">
        <v>366</v>
      </c>
      <c r="AD20" s="13"/>
      <c r="AE20" s="13" t="s">
        <v>149</v>
      </c>
      <c r="AF20" s="3"/>
      <c r="AG20" s="3">
        <v>0</v>
      </c>
      <c r="AH20" s="3"/>
      <c r="AI20" s="3">
        <v>0</v>
      </c>
      <c r="AJ20" s="3"/>
      <c r="AK20" s="3">
        <v>0</v>
      </c>
      <c r="AL20" s="3"/>
      <c r="AM20" s="3">
        <v>0</v>
      </c>
      <c r="AN20" s="3"/>
      <c r="AO20" s="3">
        <v>0</v>
      </c>
      <c r="AP20" s="3"/>
      <c r="AQ20" s="3">
        <v>0</v>
      </c>
      <c r="AR20" s="3"/>
      <c r="AS20" s="3">
        <f t="shared" si="0"/>
        <v>53702</v>
      </c>
      <c r="AT20" s="3"/>
      <c r="AU20" s="3">
        <f t="shared" si="1"/>
        <v>40181636</v>
      </c>
    </row>
    <row r="21" spans="1:47">
      <c r="A21" s="3" t="s">
        <v>278</v>
      </c>
      <c r="B21" s="13"/>
      <c r="C21" s="13" t="s">
        <v>175</v>
      </c>
      <c r="E21" s="3">
        <v>6527019</v>
      </c>
      <c r="F21" s="3"/>
      <c r="G21" s="3">
        <v>5519728</v>
      </c>
      <c r="H21" s="3"/>
      <c r="I21" s="3">
        <v>12917</v>
      </c>
      <c r="J21" s="3"/>
      <c r="K21" s="3">
        <f>210224+85191</f>
        <v>295415</v>
      </c>
      <c r="L21" s="3"/>
      <c r="M21" s="3">
        <v>16589</v>
      </c>
      <c r="N21" s="3"/>
      <c r="O21" s="3">
        <v>0</v>
      </c>
      <c r="P21" s="3"/>
      <c r="Q21" s="3">
        <v>0</v>
      </c>
      <c r="R21" s="3"/>
      <c r="S21" s="3">
        <v>13358</v>
      </c>
      <c r="T21" s="3"/>
      <c r="U21" s="7">
        <f>SUM(E21:T21)</f>
        <v>12385026</v>
      </c>
      <c r="V21" s="3"/>
      <c r="W21" s="3">
        <v>0</v>
      </c>
      <c r="X21" s="3"/>
      <c r="Y21" s="3">
        <v>0</v>
      </c>
      <c r="Z21" s="3"/>
      <c r="AA21" s="3">
        <v>0</v>
      </c>
      <c r="AB21" s="3"/>
      <c r="AC21" s="3" t="s">
        <v>278</v>
      </c>
      <c r="AD21" s="13"/>
      <c r="AE21" s="13" t="s">
        <v>175</v>
      </c>
      <c r="AF21" s="3"/>
      <c r="AG21" s="3">
        <v>0</v>
      </c>
      <c r="AH21" s="3"/>
      <c r="AI21" s="3">
        <v>0</v>
      </c>
      <c r="AJ21" s="3"/>
      <c r="AK21" s="3">
        <v>0</v>
      </c>
      <c r="AL21" s="3"/>
      <c r="AM21" s="3">
        <v>0</v>
      </c>
      <c r="AN21" s="3"/>
      <c r="AO21" s="3">
        <v>0</v>
      </c>
      <c r="AP21" s="3"/>
      <c r="AQ21" s="3">
        <v>0</v>
      </c>
      <c r="AR21" s="3"/>
      <c r="AS21" s="3">
        <f t="shared" si="0"/>
        <v>0</v>
      </c>
      <c r="AT21" s="3"/>
      <c r="AU21" s="3">
        <f t="shared" si="1"/>
        <v>12385026</v>
      </c>
    </row>
    <row r="22" spans="1:47" hidden="1">
      <c r="A22" s="3" t="s">
        <v>276</v>
      </c>
      <c r="B22" s="13"/>
      <c r="C22" s="13" t="s">
        <v>216</v>
      </c>
      <c r="E22" s="3">
        <v>0</v>
      </c>
      <c r="F22" s="3"/>
      <c r="G22" s="3">
        <v>0</v>
      </c>
      <c r="H22" s="3"/>
      <c r="I22" s="3">
        <v>0</v>
      </c>
      <c r="J22" s="3"/>
      <c r="K22" s="3">
        <v>0</v>
      </c>
      <c r="L22" s="3"/>
      <c r="M22" s="3">
        <v>0</v>
      </c>
      <c r="N22" s="3"/>
      <c r="O22" s="3">
        <v>0</v>
      </c>
      <c r="P22" s="3"/>
      <c r="Q22" s="3">
        <v>0</v>
      </c>
      <c r="R22" s="3"/>
      <c r="S22" s="3">
        <v>0</v>
      </c>
      <c r="T22" s="3"/>
      <c r="U22" s="7">
        <f t="shared" si="2"/>
        <v>0</v>
      </c>
      <c r="V22" s="3"/>
      <c r="W22" s="3">
        <v>0</v>
      </c>
      <c r="X22" s="3"/>
      <c r="Y22" s="3"/>
      <c r="Z22" s="3"/>
      <c r="AA22" s="3">
        <v>0</v>
      </c>
      <c r="AB22" s="3"/>
      <c r="AC22" s="3" t="s">
        <v>276</v>
      </c>
      <c r="AD22" s="13"/>
      <c r="AE22" s="13" t="s">
        <v>216</v>
      </c>
      <c r="AF22" s="3"/>
      <c r="AG22" s="3"/>
      <c r="AH22" s="3"/>
      <c r="AI22" s="3">
        <v>0</v>
      </c>
      <c r="AJ22" s="3"/>
      <c r="AK22" s="3">
        <v>0</v>
      </c>
      <c r="AL22" s="3"/>
      <c r="AM22" s="3">
        <v>0</v>
      </c>
      <c r="AN22" s="3"/>
      <c r="AO22" s="3">
        <v>0</v>
      </c>
      <c r="AP22" s="3"/>
      <c r="AQ22" s="3">
        <v>0</v>
      </c>
      <c r="AR22" s="3"/>
      <c r="AS22" s="3">
        <f t="shared" si="0"/>
        <v>0</v>
      </c>
      <c r="AT22" s="3"/>
      <c r="AU22" s="3">
        <f t="shared" si="1"/>
        <v>0</v>
      </c>
    </row>
    <row r="23" spans="1:47">
      <c r="A23" s="3" t="s">
        <v>365</v>
      </c>
      <c r="B23" s="13"/>
      <c r="C23" s="13" t="s">
        <v>158</v>
      </c>
      <c r="E23" s="3">
        <v>1935322</v>
      </c>
      <c r="F23" s="3"/>
      <c r="G23" s="3">
        <f>3798080+35495</f>
        <v>3833575</v>
      </c>
      <c r="H23" s="3"/>
      <c r="I23" s="3">
        <v>0</v>
      </c>
      <c r="J23" s="3"/>
      <c r="K23" s="3">
        <f>154811+47097+18484+15593</f>
        <v>235985</v>
      </c>
      <c r="L23" s="3"/>
      <c r="M23" s="3">
        <v>1507</v>
      </c>
      <c r="N23" s="3"/>
      <c r="O23" s="3">
        <v>0</v>
      </c>
      <c r="P23" s="3"/>
      <c r="Q23" s="3">
        <v>0</v>
      </c>
      <c r="R23" s="3"/>
      <c r="S23" s="3">
        <v>40726</v>
      </c>
      <c r="T23" s="3"/>
      <c r="U23" s="7">
        <f t="shared" si="2"/>
        <v>6047115</v>
      </c>
      <c r="V23" s="3"/>
      <c r="W23" s="3">
        <v>581280</v>
      </c>
      <c r="X23" s="3"/>
      <c r="Y23" s="3">
        <v>0</v>
      </c>
      <c r="Z23" s="3"/>
      <c r="AA23" s="3">
        <v>0</v>
      </c>
      <c r="AB23" s="3"/>
      <c r="AC23" s="3" t="s">
        <v>365</v>
      </c>
      <c r="AD23" s="13"/>
      <c r="AE23" s="13" t="s">
        <v>158</v>
      </c>
      <c r="AF23" s="3"/>
      <c r="AG23" s="3">
        <v>0</v>
      </c>
      <c r="AH23" s="3"/>
      <c r="AI23" s="3">
        <v>0</v>
      </c>
      <c r="AJ23" s="3"/>
      <c r="AK23" s="3">
        <v>0</v>
      </c>
      <c r="AL23" s="3"/>
      <c r="AM23" s="3">
        <v>0</v>
      </c>
      <c r="AN23" s="3"/>
      <c r="AO23" s="3">
        <v>0</v>
      </c>
      <c r="AP23" s="3"/>
      <c r="AQ23" s="3">
        <v>0</v>
      </c>
      <c r="AR23" s="3"/>
      <c r="AS23" s="3">
        <f t="shared" si="0"/>
        <v>581280</v>
      </c>
      <c r="AT23" s="3"/>
      <c r="AU23" s="3">
        <f t="shared" si="1"/>
        <v>6628395</v>
      </c>
    </row>
    <row r="24" spans="1:47">
      <c r="A24" s="3" t="s">
        <v>245</v>
      </c>
      <c r="B24" s="13"/>
      <c r="C24" s="13" t="s">
        <v>209</v>
      </c>
      <c r="E24" s="3">
        <v>1367189</v>
      </c>
      <c r="F24" s="3"/>
      <c r="G24" s="3">
        <v>2264151</v>
      </c>
      <c r="H24" s="3"/>
      <c r="I24" s="3">
        <v>2416</v>
      </c>
      <c r="J24" s="3"/>
      <c r="K24" s="3">
        <f>10801+16768+23320</f>
        <v>50889</v>
      </c>
      <c r="L24" s="3"/>
      <c r="M24" s="3">
        <v>0</v>
      </c>
      <c r="N24" s="3"/>
      <c r="O24" s="3">
        <v>0</v>
      </c>
      <c r="P24" s="3"/>
      <c r="Q24" s="3">
        <v>2500</v>
      </c>
      <c r="R24" s="3"/>
      <c r="S24" s="3">
        <v>30899</v>
      </c>
      <c r="T24" s="3"/>
      <c r="U24" s="7">
        <f t="shared" si="2"/>
        <v>3718044</v>
      </c>
      <c r="V24" s="3"/>
      <c r="W24" s="3">
        <v>0</v>
      </c>
      <c r="X24" s="3"/>
      <c r="Y24" s="3">
        <v>0</v>
      </c>
      <c r="Z24" s="3"/>
      <c r="AA24" s="3">
        <v>0</v>
      </c>
      <c r="AB24" s="3"/>
      <c r="AC24" s="3" t="s">
        <v>245</v>
      </c>
      <c r="AD24" s="13"/>
      <c r="AE24" s="13" t="s">
        <v>209</v>
      </c>
      <c r="AF24" s="3"/>
      <c r="AG24" s="3">
        <v>0</v>
      </c>
      <c r="AH24" s="3"/>
      <c r="AI24" s="3">
        <v>0</v>
      </c>
      <c r="AJ24" s="3"/>
      <c r="AK24" s="3">
        <v>0</v>
      </c>
      <c r="AL24" s="3"/>
      <c r="AM24" s="3">
        <v>0</v>
      </c>
      <c r="AN24" s="3"/>
      <c r="AO24" s="3">
        <v>0</v>
      </c>
      <c r="AP24" s="3"/>
      <c r="AQ24" s="3">
        <v>0</v>
      </c>
      <c r="AR24" s="3"/>
      <c r="AS24" s="3">
        <f t="shared" si="0"/>
        <v>0</v>
      </c>
      <c r="AT24" s="3"/>
      <c r="AU24" s="3">
        <f t="shared" si="1"/>
        <v>3718044</v>
      </c>
    </row>
    <row r="25" spans="1:47">
      <c r="A25" s="3" t="s">
        <v>243</v>
      </c>
      <c r="B25" s="13"/>
      <c r="C25" s="13" t="s">
        <v>159</v>
      </c>
      <c r="E25" s="3">
        <v>10532788</v>
      </c>
      <c r="F25" s="3"/>
      <c r="G25" s="3">
        <v>3761194</v>
      </c>
      <c r="H25" s="3"/>
      <c r="I25" s="3">
        <v>48402</v>
      </c>
      <c r="J25" s="3"/>
      <c r="K25" s="3">
        <f>51995+16229+63399+62933+19596</f>
        <v>214152</v>
      </c>
      <c r="L25" s="3"/>
      <c r="M25" s="3">
        <v>0</v>
      </c>
      <c r="N25" s="3"/>
      <c r="O25" s="3">
        <v>9</v>
      </c>
      <c r="P25" s="3"/>
      <c r="Q25" s="3">
        <v>6713</v>
      </c>
      <c r="R25" s="3"/>
      <c r="S25" s="3">
        <v>84157</v>
      </c>
      <c r="T25" s="3"/>
      <c r="U25" s="7">
        <f t="shared" si="2"/>
        <v>14647415</v>
      </c>
      <c r="V25" s="3"/>
      <c r="W25" s="3">
        <v>0</v>
      </c>
      <c r="X25" s="3"/>
      <c r="Y25" s="3">
        <v>0</v>
      </c>
      <c r="Z25" s="3"/>
      <c r="AA25" s="3">
        <v>0</v>
      </c>
      <c r="AB25" s="3"/>
      <c r="AC25" s="3" t="s">
        <v>243</v>
      </c>
      <c r="AD25" s="13"/>
      <c r="AE25" s="13" t="s">
        <v>159</v>
      </c>
      <c r="AF25" s="3"/>
      <c r="AG25" s="3">
        <v>0</v>
      </c>
      <c r="AH25" s="3"/>
      <c r="AI25" s="3">
        <v>0</v>
      </c>
      <c r="AJ25" s="3"/>
      <c r="AK25" s="3">
        <v>0</v>
      </c>
      <c r="AL25" s="3"/>
      <c r="AM25" s="3">
        <v>0</v>
      </c>
      <c r="AN25" s="3"/>
      <c r="AO25" s="3">
        <v>0</v>
      </c>
      <c r="AP25" s="3"/>
      <c r="AQ25" s="3">
        <v>0</v>
      </c>
      <c r="AR25" s="3"/>
      <c r="AS25" s="3">
        <f t="shared" si="0"/>
        <v>0</v>
      </c>
      <c r="AT25" s="3"/>
      <c r="AU25" s="3">
        <f t="shared" si="1"/>
        <v>14647415</v>
      </c>
    </row>
    <row r="26" spans="1:47">
      <c r="A26" s="3" t="s">
        <v>242</v>
      </c>
      <c r="B26" s="13"/>
      <c r="C26" s="13" t="s">
        <v>161</v>
      </c>
      <c r="E26" s="3">
        <v>9273423</v>
      </c>
      <c r="F26" s="3"/>
      <c r="G26" s="3">
        <f>3820299+19285</f>
        <v>3839584</v>
      </c>
      <c r="H26" s="3"/>
      <c r="I26" s="3">
        <v>184802</v>
      </c>
      <c r="J26" s="3"/>
      <c r="K26" s="3">
        <f>1065638+66015+14712+139660</f>
        <v>1286025</v>
      </c>
      <c r="L26" s="3"/>
      <c r="M26" s="3">
        <v>144</v>
      </c>
      <c r="N26" s="3"/>
      <c r="O26" s="3">
        <v>10135</v>
      </c>
      <c r="P26" s="3"/>
      <c r="Q26" s="3">
        <v>685</v>
      </c>
      <c r="R26" s="3"/>
      <c r="S26" s="3">
        <v>64854</v>
      </c>
      <c r="T26" s="3"/>
      <c r="U26" s="7">
        <f t="shared" si="2"/>
        <v>14659652</v>
      </c>
      <c r="V26" s="3"/>
      <c r="W26" s="3">
        <v>0</v>
      </c>
      <c r="X26" s="3"/>
      <c r="Y26" s="3">
        <v>0</v>
      </c>
      <c r="Z26" s="3"/>
      <c r="AA26" s="3">
        <v>0</v>
      </c>
      <c r="AB26" s="3"/>
      <c r="AC26" s="3" t="s">
        <v>242</v>
      </c>
      <c r="AD26" s="13"/>
      <c r="AE26" s="13" t="s">
        <v>161</v>
      </c>
      <c r="AF26" s="3"/>
      <c r="AG26" s="3">
        <v>0</v>
      </c>
      <c r="AH26" s="3"/>
      <c r="AI26" s="3">
        <v>151726</v>
      </c>
      <c r="AJ26" s="3"/>
      <c r="AK26" s="3">
        <v>0</v>
      </c>
      <c r="AL26" s="3"/>
      <c r="AM26" s="3">
        <v>0</v>
      </c>
      <c r="AN26" s="3"/>
      <c r="AO26" s="3">
        <v>0</v>
      </c>
      <c r="AP26" s="3"/>
      <c r="AQ26" s="3">
        <v>0</v>
      </c>
      <c r="AR26" s="3"/>
      <c r="AS26" s="3">
        <f t="shared" si="0"/>
        <v>151726</v>
      </c>
      <c r="AT26" s="3"/>
      <c r="AU26" s="3">
        <f t="shared" si="1"/>
        <v>14811378</v>
      </c>
    </row>
    <row r="27" spans="1:47">
      <c r="A27" s="3" t="s">
        <v>367</v>
      </c>
      <c r="B27" s="13"/>
      <c r="C27" s="13" t="s">
        <v>164</v>
      </c>
      <c r="E27" s="3">
        <v>12391606</v>
      </c>
      <c r="F27" s="3"/>
      <c r="G27" s="3">
        <v>6380044</v>
      </c>
      <c r="H27" s="3"/>
      <c r="I27" s="3">
        <v>62729</v>
      </c>
      <c r="J27" s="3"/>
      <c r="K27" s="3">
        <f>344983+131929+12574</f>
        <v>489486</v>
      </c>
      <c r="L27" s="3"/>
      <c r="M27" s="3">
        <v>0</v>
      </c>
      <c r="N27" s="3"/>
      <c r="O27" s="3">
        <v>1397</v>
      </c>
      <c r="P27" s="3"/>
      <c r="Q27" s="3">
        <v>18936</v>
      </c>
      <c r="R27" s="3"/>
      <c r="S27" s="3">
        <v>43824</v>
      </c>
      <c r="T27" s="3"/>
      <c r="U27" s="7">
        <f t="shared" si="2"/>
        <v>19388022</v>
      </c>
      <c r="V27" s="3"/>
      <c r="W27" s="3">
        <v>0</v>
      </c>
      <c r="X27" s="3"/>
      <c r="Y27" s="3">
        <v>0</v>
      </c>
      <c r="Z27" s="3"/>
      <c r="AA27" s="3">
        <v>0</v>
      </c>
      <c r="AB27" s="3"/>
      <c r="AC27" s="3" t="s">
        <v>367</v>
      </c>
      <c r="AD27" s="13"/>
      <c r="AE27" s="13" t="s">
        <v>164</v>
      </c>
      <c r="AF27" s="3"/>
      <c r="AG27" s="3">
        <v>0</v>
      </c>
      <c r="AH27" s="3"/>
      <c r="AI27" s="3">
        <v>0</v>
      </c>
      <c r="AJ27" s="3"/>
      <c r="AK27" s="3">
        <v>0</v>
      </c>
      <c r="AL27" s="3"/>
      <c r="AM27" s="3">
        <v>0</v>
      </c>
      <c r="AN27" s="3"/>
      <c r="AO27" s="3">
        <v>0</v>
      </c>
      <c r="AP27" s="3"/>
      <c r="AQ27" s="3">
        <v>0</v>
      </c>
      <c r="AR27" s="3"/>
      <c r="AS27" s="3">
        <f t="shared" si="0"/>
        <v>0</v>
      </c>
      <c r="AT27" s="3"/>
      <c r="AU27" s="3">
        <f t="shared" si="1"/>
        <v>19388022</v>
      </c>
    </row>
    <row r="28" spans="1:47">
      <c r="A28" s="3" t="s">
        <v>244</v>
      </c>
      <c r="B28" s="13"/>
      <c r="C28" s="13" t="s">
        <v>162</v>
      </c>
      <c r="E28" s="3">
        <v>6724370</v>
      </c>
      <c r="F28" s="3"/>
      <c r="G28" s="3">
        <v>6196246</v>
      </c>
      <c r="H28" s="3"/>
      <c r="I28" s="3">
        <v>8741</v>
      </c>
      <c r="J28" s="3"/>
      <c r="K28" s="3">
        <f>14100+95587</f>
        <v>109687</v>
      </c>
      <c r="L28" s="3"/>
      <c r="M28" s="3">
        <v>9300</v>
      </c>
      <c r="N28" s="3"/>
      <c r="O28" s="3">
        <v>0</v>
      </c>
      <c r="P28" s="3"/>
      <c r="Q28" s="3">
        <v>0</v>
      </c>
      <c r="R28" s="3"/>
      <c r="S28" s="3">
        <v>207420</v>
      </c>
      <c r="T28" s="3"/>
      <c r="U28" s="7">
        <f t="shared" si="2"/>
        <v>13255764</v>
      </c>
      <c r="V28" s="3"/>
      <c r="W28" s="3">
        <v>0</v>
      </c>
      <c r="X28" s="3"/>
      <c r="Y28" s="3">
        <v>0</v>
      </c>
      <c r="Z28" s="3"/>
      <c r="AA28" s="3">
        <v>0</v>
      </c>
      <c r="AB28" s="3"/>
      <c r="AC28" s="3" t="s">
        <v>244</v>
      </c>
      <c r="AD28" s="13"/>
      <c r="AE28" s="13" t="s">
        <v>162</v>
      </c>
      <c r="AF28" s="3"/>
      <c r="AG28" s="3">
        <v>0</v>
      </c>
      <c r="AH28" s="3"/>
      <c r="AI28" s="3">
        <v>0</v>
      </c>
      <c r="AJ28" s="3"/>
      <c r="AK28" s="3">
        <v>0</v>
      </c>
      <c r="AL28" s="3"/>
      <c r="AM28" s="3">
        <v>0</v>
      </c>
      <c r="AN28" s="3"/>
      <c r="AO28" s="3">
        <v>0</v>
      </c>
      <c r="AP28" s="3"/>
      <c r="AQ28" s="3">
        <v>0</v>
      </c>
      <c r="AR28" s="3"/>
      <c r="AS28" s="3">
        <f t="shared" si="0"/>
        <v>0</v>
      </c>
      <c r="AT28" s="3"/>
      <c r="AU28" s="3">
        <f t="shared" si="1"/>
        <v>13255764</v>
      </c>
    </row>
    <row r="29" spans="1:47">
      <c r="A29" s="3" t="s">
        <v>246</v>
      </c>
      <c r="B29" s="13"/>
      <c r="C29" s="13" t="s">
        <v>211</v>
      </c>
      <c r="E29" s="3">
        <v>5278941</v>
      </c>
      <c r="F29" s="3"/>
      <c r="G29" s="3">
        <v>8684329</v>
      </c>
      <c r="H29" s="3"/>
      <c r="I29" s="3">
        <v>40004</v>
      </c>
      <c r="J29" s="3"/>
      <c r="K29" s="3">
        <f>450315+9216+48279</f>
        <v>507810</v>
      </c>
      <c r="L29" s="3"/>
      <c r="M29" s="3">
        <v>0</v>
      </c>
      <c r="N29" s="3"/>
      <c r="O29" s="3">
        <v>0</v>
      </c>
      <c r="P29" s="3"/>
      <c r="Q29" s="3">
        <v>98132</v>
      </c>
      <c r="R29" s="3"/>
      <c r="S29" s="3">
        <f>1829+6374</f>
        <v>8203</v>
      </c>
      <c r="T29" s="3"/>
      <c r="U29" s="7">
        <f t="shared" si="2"/>
        <v>14617419</v>
      </c>
      <c r="V29" s="3"/>
      <c r="W29" s="3">
        <v>0</v>
      </c>
      <c r="X29" s="3"/>
      <c r="Y29" s="3">
        <v>0</v>
      </c>
      <c r="Z29" s="3"/>
      <c r="AA29" s="3">
        <v>0</v>
      </c>
      <c r="AB29" s="3"/>
      <c r="AC29" s="3" t="s">
        <v>246</v>
      </c>
      <c r="AD29" s="13"/>
      <c r="AE29" s="13" t="s">
        <v>211</v>
      </c>
      <c r="AF29" s="3"/>
      <c r="AG29" s="3">
        <v>0</v>
      </c>
      <c r="AH29" s="3"/>
      <c r="AI29" s="3">
        <v>0</v>
      </c>
      <c r="AJ29" s="3"/>
      <c r="AK29" s="3">
        <v>3210</v>
      </c>
      <c r="AL29" s="3"/>
      <c r="AM29" s="3">
        <v>0</v>
      </c>
      <c r="AN29" s="3"/>
      <c r="AO29" s="3">
        <v>0</v>
      </c>
      <c r="AP29" s="3"/>
      <c r="AQ29" s="3">
        <v>0</v>
      </c>
      <c r="AR29" s="3"/>
      <c r="AS29" s="3">
        <f t="shared" si="0"/>
        <v>3210</v>
      </c>
      <c r="AT29" s="3"/>
      <c r="AU29" s="3">
        <f t="shared" si="1"/>
        <v>14620629</v>
      </c>
    </row>
    <row r="30" spans="1:47">
      <c r="A30" s="3" t="s">
        <v>210</v>
      </c>
      <c r="B30" s="13"/>
      <c r="C30" s="13" t="s">
        <v>167</v>
      </c>
      <c r="E30" s="3">
        <v>2493463</v>
      </c>
      <c r="F30" s="3"/>
      <c r="G30" s="3">
        <v>4964210</v>
      </c>
      <c r="H30" s="3"/>
      <c r="I30" s="3">
        <v>150952</v>
      </c>
      <c r="J30" s="3"/>
      <c r="K30" s="3">
        <f>25565+17662+809</f>
        <v>44036</v>
      </c>
      <c r="L30" s="3"/>
      <c r="M30" s="3">
        <v>840</v>
      </c>
      <c r="N30" s="3"/>
      <c r="O30" s="3">
        <v>0</v>
      </c>
      <c r="P30" s="3"/>
      <c r="Q30" s="3">
        <v>85829</v>
      </c>
      <c r="R30" s="3"/>
      <c r="S30" s="3">
        <v>32250</v>
      </c>
      <c r="T30" s="3"/>
      <c r="U30" s="7">
        <f t="shared" si="2"/>
        <v>7771580</v>
      </c>
      <c r="V30" s="3"/>
      <c r="W30" s="3">
        <v>0</v>
      </c>
      <c r="X30" s="3"/>
      <c r="Y30" s="3">
        <v>0</v>
      </c>
      <c r="Z30" s="3"/>
      <c r="AA30" s="3">
        <v>0</v>
      </c>
      <c r="AB30" s="3"/>
      <c r="AC30" s="3" t="s">
        <v>210</v>
      </c>
      <c r="AD30" s="13"/>
      <c r="AE30" s="13" t="s">
        <v>167</v>
      </c>
      <c r="AF30" s="3"/>
      <c r="AG30" s="3">
        <v>0</v>
      </c>
      <c r="AH30" s="3"/>
      <c r="AI30" s="3">
        <v>0</v>
      </c>
      <c r="AJ30" s="3"/>
      <c r="AK30" s="3">
        <v>0</v>
      </c>
      <c r="AL30" s="3"/>
      <c r="AM30" s="3">
        <v>0</v>
      </c>
      <c r="AN30" s="3"/>
      <c r="AO30" s="3">
        <v>0</v>
      </c>
      <c r="AP30" s="3"/>
      <c r="AQ30" s="3">
        <v>0</v>
      </c>
      <c r="AR30" s="3"/>
      <c r="AS30" s="3">
        <f t="shared" si="0"/>
        <v>0</v>
      </c>
      <c r="AT30" s="3"/>
      <c r="AU30" s="3">
        <f t="shared" si="1"/>
        <v>7771580</v>
      </c>
    </row>
    <row r="31" spans="1:47">
      <c r="A31" s="3" t="s">
        <v>368</v>
      </c>
      <c r="B31" s="13"/>
      <c r="C31" s="13" t="s">
        <v>170</v>
      </c>
      <c r="E31" s="3">
        <v>34830061</v>
      </c>
      <c r="F31" s="3"/>
      <c r="G31" s="3">
        <v>21517807</v>
      </c>
      <c r="H31" s="3"/>
      <c r="I31" s="3">
        <v>215158</v>
      </c>
      <c r="J31" s="3"/>
      <c r="K31" s="3">
        <f>232918+25000</f>
        <v>257918</v>
      </c>
      <c r="L31" s="3"/>
      <c r="M31" s="3">
        <v>62512</v>
      </c>
      <c r="N31" s="3"/>
      <c r="O31" s="3">
        <v>876407</v>
      </c>
      <c r="P31" s="3"/>
      <c r="Q31" s="3">
        <v>0</v>
      </c>
      <c r="R31" s="3"/>
      <c r="S31" s="3">
        <v>412681</v>
      </c>
      <c r="T31" s="3"/>
      <c r="U31" s="7">
        <f t="shared" si="2"/>
        <v>58172544</v>
      </c>
      <c r="V31" s="3"/>
      <c r="W31" s="3">
        <v>0</v>
      </c>
      <c r="X31" s="3"/>
      <c r="Y31" s="3">
        <v>0</v>
      </c>
      <c r="Z31" s="3"/>
      <c r="AA31" s="3">
        <v>0</v>
      </c>
      <c r="AB31" s="3"/>
      <c r="AC31" s="3" t="s">
        <v>368</v>
      </c>
      <c r="AD31" s="13"/>
      <c r="AE31" s="13" t="s">
        <v>170</v>
      </c>
      <c r="AF31" s="3"/>
      <c r="AG31" s="3">
        <v>0</v>
      </c>
      <c r="AH31" s="3"/>
      <c r="AI31" s="3">
        <v>0</v>
      </c>
      <c r="AJ31" s="3"/>
      <c r="AK31" s="3">
        <v>43200</v>
      </c>
      <c r="AL31" s="3"/>
      <c r="AM31" s="3">
        <v>0</v>
      </c>
      <c r="AN31" s="3"/>
      <c r="AO31" s="3">
        <v>0</v>
      </c>
      <c r="AP31" s="3"/>
      <c r="AQ31" s="3">
        <v>0</v>
      </c>
      <c r="AR31" s="3"/>
      <c r="AS31" s="3">
        <f t="shared" si="0"/>
        <v>43200</v>
      </c>
      <c r="AT31" s="3"/>
      <c r="AU31" s="3">
        <f t="shared" si="1"/>
        <v>58215744</v>
      </c>
    </row>
    <row r="32" spans="1:47">
      <c r="A32" s="3" t="s">
        <v>321</v>
      </c>
      <c r="B32" s="13"/>
      <c r="C32" s="13" t="s">
        <v>169</v>
      </c>
      <c r="E32" s="3">
        <v>7269948</v>
      </c>
      <c r="F32" s="3"/>
      <c r="G32" s="3">
        <v>5327093</v>
      </c>
      <c r="H32" s="3"/>
      <c r="I32" s="3">
        <v>7961</v>
      </c>
      <c r="J32" s="3"/>
      <c r="K32" s="3">
        <f>47090+53413</f>
        <v>100503</v>
      </c>
      <c r="L32" s="3"/>
      <c r="M32" s="3">
        <v>0</v>
      </c>
      <c r="N32" s="3"/>
      <c r="O32" s="3">
        <v>0</v>
      </c>
      <c r="P32" s="3"/>
      <c r="Q32" s="3">
        <v>0</v>
      </c>
      <c r="R32" s="3"/>
      <c r="S32" s="3">
        <v>190710</v>
      </c>
      <c r="T32" s="3"/>
      <c r="U32" s="7">
        <f>SUM(E32:T32)</f>
        <v>12896215</v>
      </c>
      <c r="V32" s="3"/>
      <c r="W32" s="3">
        <v>0</v>
      </c>
      <c r="X32" s="3"/>
      <c r="Y32" s="3">
        <v>0</v>
      </c>
      <c r="Z32" s="3"/>
      <c r="AA32" s="3">
        <v>0</v>
      </c>
      <c r="AB32" s="3"/>
      <c r="AC32" s="3" t="s">
        <v>321</v>
      </c>
      <c r="AD32" s="13"/>
      <c r="AE32" s="13" t="s">
        <v>169</v>
      </c>
      <c r="AF32" s="3"/>
      <c r="AG32" s="3">
        <v>0</v>
      </c>
      <c r="AH32" s="3"/>
      <c r="AI32" s="3">
        <v>0</v>
      </c>
      <c r="AJ32" s="3"/>
      <c r="AK32" s="3">
        <v>0</v>
      </c>
      <c r="AL32" s="3"/>
      <c r="AM32" s="3">
        <v>0</v>
      </c>
      <c r="AN32" s="3"/>
      <c r="AO32" s="3">
        <v>0</v>
      </c>
      <c r="AP32" s="3"/>
      <c r="AQ32" s="3">
        <v>0</v>
      </c>
      <c r="AR32" s="3"/>
      <c r="AS32" s="3">
        <f t="shared" si="0"/>
        <v>0</v>
      </c>
      <c r="AT32" s="3"/>
      <c r="AU32" s="3">
        <f t="shared" si="1"/>
        <v>12896215</v>
      </c>
    </row>
    <row r="33" spans="1:47">
      <c r="A33" s="3" t="s">
        <v>212</v>
      </c>
      <c r="B33" s="13"/>
      <c r="C33" s="13" t="s">
        <v>172</v>
      </c>
      <c r="E33" s="3">
        <v>1481717</v>
      </c>
      <c r="F33" s="3"/>
      <c r="G33" s="3">
        <v>2897086</v>
      </c>
      <c r="H33" s="3"/>
      <c r="I33" s="3">
        <v>88</v>
      </c>
      <c r="J33" s="3"/>
      <c r="K33" s="3">
        <f>203067+445540</f>
        <v>648607</v>
      </c>
      <c r="L33" s="3"/>
      <c r="M33" s="3">
        <v>9248</v>
      </c>
      <c r="N33" s="3"/>
      <c r="O33" s="3">
        <v>0</v>
      </c>
      <c r="P33" s="3"/>
      <c r="Q33" s="3">
        <v>0</v>
      </c>
      <c r="R33" s="3"/>
      <c r="S33" s="3">
        <v>10846</v>
      </c>
      <c r="T33" s="3"/>
      <c r="U33" s="7">
        <f t="shared" si="2"/>
        <v>5047592</v>
      </c>
      <c r="V33" s="3"/>
      <c r="W33" s="3">
        <v>0</v>
      </c>
      <c r="X33" s="3"/>
      <c r="Y33" s="3"/>
      <c r="Z33" s="3"/>
      <c r="AA33" s="3">
        <v>0</v>
      </c>
      <c r="AB33" s="3"/>
      <c r="AC33" s="3" t="s">
        <v>212</v>
      </c>
      <c r="AD33" s="13"/>
      <c r="AE33" s="13" t="s">
        <v>172</v>
      </c>
      <c r="AF33" s="3"/>
      <c r="AG33" s="3">
        <v>0</v>
      </c>
      <c r="AH33" s="3"/>
      <c r="AI33" s="3">
        <v>0</v>
      </c>
      <c r="AJ33" s="3"/>
      <c r="AK33" s="3">
        <v>0</v>
      </c>
      <c r="AL33" s="3"/>
      <c r="AM33" s="3">
        <v>0</v>
      </c>
      <c r="AN33" s="3"/>
      <c r="AO33" s="3">
        <v>0</v>
      </c>
      <c r="AP33" s="3"/>
      <c r="AQ33" s="3">
        <v>0</v>
      </c>
      <c r="AR33" s="3"/>
      <c r="AS33" s="3">
        <f t="shared" si="0"/>
        <v>0</v>
      </c>
      <c r="AT33" s="3"/>
      <c r="AU33" s="3">
        <f t="shared" si="1"/>
        <v>5047592</v>
      </c>
    </row>
    <row r="34" spans="1:47">
      <c r="A34" s="3" t="s">
        <v>247</v>
      </c>
      <c r="B34" s="13"/>
      <c r="C34" s="13" t="s">
        <v>173</v>
      </c>
      <c r="E34" s="3">
        <v>3180456</v>
      </c>
      <c r="F34" s="3"/>
      <c r="G34" s="3">
        <v>5826418</v>
      </c>
      <c r="H34" s="3"/>
      <c r="I34" s="3">
        <v>92535</v>
      </c>
      <c r="J34" s="3"/>
      <c r="K34" s="3">
        <f>43280+8740+116006</f>
        <v>168026</v>
      </c>
      <c r="L34" s="3"/>
      <c r="M34" s="3">
        <v>0</v>
      </c>
      <c r="N34" s="3"/>
      <c r="O34" s="3">
        <v>75053</v>
      </c>
      <c r="P34" s="3"/>
      <c r="Q34" s="3">
        <v>2985</v>
      </c>
      <c r="R34" s="3"/>
      <c r="S34" s="3">
        <v>17576</v>
      </c>
      <c r="T34" s="3"/>
      <c r="U34" s="7">
        <f t="shared" si="2"/>
        <v>9363049</v>
      </c>
      <c r="V34" s="3"/>
      <c r="W34" s="3">
        <v>0</v>
      </c>
      <c r="X34" s="3"/>
      <c r="Y34" s="3"/>
      <c r="Z34" s="3"/>
      <c r="AA34" s="3">
        <v>0</v>
      </c>
      <c r="AB34" s="3"/>
      <c r="AC34" s="3" t="s">
        <v>247</v>
      </c>
      <c r="AD34" s="13"/>
      <c r="AE34" s="13" t="s">
        <v>173</v>
      </c>
      <c r="AF34" s="3"/>
      <c r="AG34" s="3">
        <v>0</v>
      </c>
      <c r="AH34" s="3"/>
      <c r="AI34" s="3">
        <v>0</v>
      </c>
      <c r="AJ34" s="3"/>
      <c r="AK34" s="3">
        <v>0</v>
      </c>
      <c r="AL34" s="3"/>
      <c r="AM34" s="3">
        <v>0</v>
      </c>
      <c r="AN34" s="3"/>
      <c r="AO34" s="3">
        <v>0</v>
      </c>
      <c r="AP34" s="3"/>
      <c r="AQ34" s="3">
        <v>0</v>
      </c>
      <c r="AR34" s="3"/>
      <c r="AS34" s="3">
        <f t="shared" si="0"/>
        <v>0</v>
      </c>
      <c r="AT34" s="3"/>
      <c r="AU34" s="3">
        <f t="shared" si="1"/>
        <v>9363049</v>
      </c>
    </row>
    <row r="35" spans="1:47">
      <c r="A35" s="3" t="s">
        <v>213</v>
      </c>
      <c r="B35" s="13"/>
      <c r="C35" s="13" t="s">
        <v>174</v>
      </c>
      <c r="E35" s="3">
        <v>1785776</v>
      </c>
      <c r="F35" s="3"/>
      <c r="G35" s="3">
        <v>5195277</v>
      </c>
      <c r="H35" s="3"/>
      <c r="I35" s="3">
        <v>0</v>
      </c>
      <c r="J35" s="3"/>
      <c r="K35" s="3">
        <f>13661+136780</f>
        <v>150441</v>
      </c>
      <c r="L35" s="3"/>
      <c r="M35" s="3">
        <v>0</v>
      </c>
      <c r="N35" s="3"/>
      <c r="O35" s="3">
        <v>0</v>
      </c>
      <c r="P35" s="3"/>
      <c r="Q35" s="3">
        <v>0</v>
      </c>
      <c r="R35" s="3"/>
      <c r="S35" s="3">
        <v>211192</v>
      </c>
      <c r="T35" s="3"/>
      <c r="U35" s="7">
        <f t="shared" si="2"/>
        <v>7342686</v>
      </c>
      <c r="V35" s="3"/>
      <c r="W35" s="3">
        <v>0</v>
      </c>
      <c r="X35" s="3"/>
      <c r="Y35" s="3"/>
      <c r="Z35" s="3"/>
      <c r="AA35" s="3">
        <v>0</v>
      </c>
      <c r="AB35" s="3"/>
      <c r="AC35" s="3" t="s">
        <v>213</v>
      </c>
      <c r="AD35" s="13"/>
      <c r="AE35" s="13" t="s">
        <v>174</v>
      </c>
      <c r="AF35" s="3"/>
      <c r="AG35" s="3">
        <v>0</v>
      </c>
      <c r="AH35" s="3"/>
      <c r="AI35" s="3">
        <v>0</v>
      </c>
      <c r="AJ35" s="3"/>
      <c r="AK35" s="3">
        <v>0</v>
      </c>
      <c r="AL35" s="3"/>
      <c r="AM35" s="3">
        <v>0</v>
      </c>
      <c r="AN35" s="3"/>
      <c r="AO35" s="3">
        <v>0</v>
      </c>
      <c r="AP35" s="3"/>
      <c r="AQ35" s="3">
        <v>0</v>
      </c>
      <c r="AR35" s="3"/>
      <c r="AS35" s="3">
        <f t="shared" si="0"/>
        <v>0</v>
      </c>
      <c r="AT35" s="3"/>
      <c r="AU35" s="3">
        <f t="shared" si="1"/>
        <v>7342686</v>
      </c>
    </row>
    <row r="36" spans="1:47" hidden="1">
      <c r="A36" s="3" t="s">
        <v>289</v>
      </c>
      <c r="B36" s="13"/>
      <c r="C36" s="13" t="s">
        <v>175</v>
      </c>
      <c r="E36" s="3">
        <v>0</v>
      </c>
      <c r="F36" s="3"/>
      <c r="G36" s="3">
        <v>0</v>
      </c>
      <c r="H36" s="3"/>
      <c r="I36" s="3">
        <v>0</v>
      </c>
      <c r="J36" s="3"/>
      <c r="K36" s="3">
        <v>0</v>
      </c>
      <c r="L36" s="3"/>
      <c r="M36" s="3">
        <v>0</v>
      </c>
      <c r="N36" s="3"/>
      <c r="O36" s="3">
        <v>0</v>
      </c>
      <c r="P36" s="3"/>
      <c r="Q36" s="3">
        <v>0</v>
      </c>
      <c r="R36" s="3"/>
      <c r="S36" s="3">
        <v>0</v>
      </c>
      <c r="T36" s="3"/>
      <c r="U36" s="7">
        <f t="shared" si="2"/>
        <v>0</v>
      </c>
      <c r="V36" s="3"/>
      <c r="W36" s="3">
        <v>0</v>
      </c>
      <c r="X36" s="3"/>
      <c r="Y36" s="3"/>
      <c r="Z36" s="3"/>
      <c r="AA36" s="3">
        <v>0</v>
      </c>
      <c r="AB36" s="3"/>
      <c r="AC36" s="3" t="s">
        <v>289</v>
      </c>
      <c r="AD36" s="13"/>
      <c r="AE36" s="13" t="s">
        <v>175</v>
      </c>
      <c r="AF36" s="3"/>
      <c r="AG36" s="3">
        <v>0</v>
      </c>
      <c r="AH36" s="3"/>
      <c r="AI36" s="3">
        <v>0</v>
      </c>
      <c r="AJ36" s="3"/>
      <c r="AK36" s="3">
        <v>0</v>
      </c>
      <c r="AL36" s="3"/>
      <c r="AM36" s="3">
        <v>0</v>
      </c>
      <c r="AN36" s="3"/>
      <c r="AO36" s="3">
        <v>0</v>
      </c>
      <c r="AP36" s="3"/>
      <c r="AQ36" s="3">
        <v>0</v>
      </c>
      <c r="AR36" s="3"/>
      <c r="AS36" s="3">
        <f t="shared" si="0"/>
        <v>0</v>
      </c>
      <c r="AT36" s="3"/>
      <c r="AU36" s="3">
        <f t="shared" si="1"/>
        <v>0</v>
      </c>
    </row>
    <row r="37" spans="1:47">
      <c r="A37" s="3" t="s">
        <v>215</v>
      </c>
      <c r="B37" s="13"/>
      <c r="C37" s="13" t="s">
        <v>144</v>
      </c>
      <c r="E37" s="3">
        <v>10988937</v>
      </c>
      <c r="F37" s="3"/>
      <c r="G37" s="3">
        <v>9536737</v>
      </c>
      <c r="H37" s="3"/>
      <c r="I37" s="3">
        <v>37025</v>
      </c>
      <c r="J37" s="3"/>
      <c r="K37" s="3">
        <v>1325859</v>
      </c>
      <c r="L37" s="3"/>
      <c r="M37" s="3">
        <v>0</v>
      </c>
      <c r="N37" s="3"/>
      <c r="O37" s="3">
        <v>0</v>
      </c>
      <c r="P37" s="3"/>
      <c r="Q37" s="3">
        <v>0</v>
      </c>
      <c r="R37" s="3"/>
      <c r="S37" s="3">
        <v>513268</v>
      </c>
      <c r="T37" s="3"/>
      <c r="U37" s="7">
        <f t="shared" si="2"/>
        <v>22401826</v>
      </c>
      <c r="V37" s="3"/>
      <c r="W37" s="3">
        <v>0</v>
      </c>
      <c r="X37" s="3"/>
      <c r="Y37" s="3"/>
      <c r="Z37" s="3"/>
      <c r="AA37" s="3">
        <v>0</v>
      </c>
      <c r="AB37" s="3"/>
      <c r="AC37" s="3" t="s">
        <v>215</v>
      </c>
      <c r="AD37" s="13"/>
      <c r="AE37" s="13" t="s">
        <v>144</v>
      </c>
      <c r="AF37" s="3"/>
      <c r="AG37" s="3">
        <v>0</v>
      </c>
      <c r="AH37" s="3"/>
      <c r="AI37" s="3">
        <v>0</v>
      </c>
      <c r="AJ37" s="3"/>
      <c r="AK37" s="3">
        <v>0</v>
      </c>
      <c r="AL37" s="3"/>
      <c r="AM37" s="3">
        <v>0</v>
      </c>
      <c r="AN37" s="3"/>
      <c r="AO37" s="3">
        <v>0</v>
      </c>
      <c r="AP37" s="3"/>
      <c r="AQ37" s="3">
        <v>0</v>
      </c>
      <c r="AR37" s="3"/>
      <c r="AS37" s="3">
        <f t="shared" si="0"/>
        <v>0</v>
      </c>
      <c r="AT37" s="3"/>
      <c r="AU37" s="3">
        <f t="shared" si="1"/>
        <v>22401826</v>
      </c>
    </row>
    <row r="38" spans="1:47">
      <c r="A38" s="3" t="s">
        <v>369</v>
      </c>
      <c r="B38" s="13"/>
      <c r="C38" s="13" t="s">
        <v>178</v>
      </c>
      <c r="E38" s="3">
        <v>6172125</v>
      </c>
      <c r="F38" s="3"/>
      <c r="G38" s="3">
        <v>4127303</v>
      </c>
      <c r="H38" s="3"/>
      <c r="I38" s="3">
        <v>308917</v>
      </c>
      <c r="J38" s="3"/>
      <c r="K38" s="3">
        <f>378728+30011+12266</f>
        <v>421005</v>
      </c>
      <c r="L38" s="3"/>
      <c r="M38" s="3">
        <v>10027</v>
      </c>
      <c r="N38" s="3"/>
      <c r="O38" s="3">
        <v>0</v>
      </c>
      <c r="P38" s="3"/>
      <c r="Q38" s="3">
        <v>2737</v>
      </c>
      <c r="R38" s="3"/>
      <c r="S38" s="3">
        <v>60644</v>
      </c>
      <c r="T38" s="3"/>
      <c r="U38" s="7">
        <f t="shared" si="2"/>
        <v>11102758</v>
      </c>
      <c r="V38" s="3"/>
      <c r="W38" s="3">
        <v>0</v>
      </c>
      <c r="X38" s="3"/>
      <c r="Y38" s="3"/>
      <c r="Z38" s="3"/>
      <c r="AA38" s="3">
        <v>0</v>
      </c>
      <c r="AB38" s="3"/>
      <c r="AC38" s="3" t="s">
        <v>369</v>
      </c>
      <c r="AD38" s="13"/>
      <c r="AE38" s="13" t="s">
        <v>178</v>
      </c>
      <c r="AF38" s="3"/>
      <c r="AG38" s="3">
        <v>0</v>
      </c>
      <c r="AH38" s="3"/>
      <c r="AI38" s="3">
        <v>0</v>
      </c>
      <c r="AJ38" s="3"/>
      <c r="AK38" s="3">
        <v>4354</v>
      </c>
      <c r="AL38" s="3"/>
      <c r="AM38" s="3">
        <v>0</v>
      </c>
      <c r="AN38" s="3"/>
      <c r="AO38" s="3">
        <v>0</v>
      </c>
      <c r="AP38" s="3"/>
      <c r="AQ38" s="3">
        <v>0</v>
      </c>
      <c r="AR38" s="3"/>
      <c r="AS38" s="3">
        <f t="shared" si="0"/>
        <v>4354</v>
      </c>
      <c r="AT38" s="3"/>
      <c r="AU38" s="3">
        <f t="shared" si="1"/>
        <v>11107112</v>
      </c>
    </row>
    <row r="39" spans="1:47">
      <c r="A39" s="3" t="s">
        <v>248</v>
      </c>
      <c r="B39" s="13"/>
      <c r="C39" s="13" t="s">
        <v>188</v>
      </c>
      <c r="E39" s="3">
        <v>6246805</v>
      </c>
      <c r="F39" s="3"/>
      <c r="G39" s="3">
        <v>5690554</v>
      </c>
      <c r="H39" s="3"/>
      <c r="I39" s="3">
        <v>411996</v>
      </c>
      <c r="J39" s="3"/>
      <c r="K39" s="3">
        <f>209471+14579+97933</f>
        <v>321983</v>
      </c>
      <c r="L39" s="3"/>
      <c r="M39" s="3">
        <v>0</v>
      </c>
      <c r="N39" s="3"/>
      <c r="O39" s="3">
        <v>0</v>
      </c>
      <c r="P39" s="3"/>
      <c r="Q39" s="3">
        <v>17748</v>
      </c>
      <c r="R39" s="3"/>
      <c r="S39" s="3">
        <v>39617</v>
      </c>
      <c r="T39" s="3"/>
      <c r="U39" s="7">
        <f t="shared" si="2"/>
        <v>12728703</v>
      </c>
      <c r="V39" s="3"/>
      <c r="W39" s="3">
        <v>0</v>
      </c>
      <c r="X39" s="3"/>
      <c r="Y39" s="3"/>
      <c r="Z39" s="3"/>
      <c r="AA39" s="3">
        <v>0</v>
      </c>
      <c r="AB39" s="3"/>
      <c r="AC39" s="3" t="s">
        <v>248</v>
      </c>
      <c r="AD39" s="13"/>
      <c r="AE39" s="13" t="s">
        <v>188</v>
      </c>
      <c r="AF39" s="3"/>
      <c r="AG39" s="3">
        <v>0</v>
      </c>
      <c r="AH39" s="3"/>
      <c r="AI39" s="3">
        <v>0</v>
      </c>
      <c r="AJ39" s="3"/>
      <c r="AK39" s="3">
        <v>0</v>
      </c>
      <c r="AL39" s="3"/>
      <c r="AM39" s="3">
        <v>0</v>
      </c>
      <c r="AN39" s="3"/>
      <c r="AO39" s="3">
        <v>0</v>
      </c>
      <c r="AP39" s="3"/>
      <c r="AQ39" s="3">
        <v>0</v>
      </c>
      <c r="AR39" s="3"/>
      <c r="AS39" s="3">
        <f t="shared" si="0"/>
        <v>0</v>
      </c>
      <c r="AT39" s="3"/>
      <c r="AU39" s="3">
        <f t="shared" si="1"/>
        <v>12728703</v>
      </c>
    </row>
    <row r="40" spans="1:47">
      <c r="A40" s="3" t="s">
        <v>219</v>
      </c>
      <c r="B40" s="13"/>
      <c r="C40" s="13" t="s">
        <v>180</v>
      </c>
      <c r="E40" s="3">
        <v>7761073</v>
      </c>
      <c r="F40" s="3"/>
      <c r="G40" s="3">
        <v>7907643</v>
      </c>
      <c r="H40" s="3"/>
      <c r="I40" s="3">
        <v>5539</v>
      </c>
      <c r="J40" s="3"/>
      <c r="K40" s="3">
        <f>38665+2740+25373</f>
        <v>66778</v>
      </c>
      <c r="L40" s="3"/>
      <c r="M40" s="3">
        <v>0</v>
      </c>
      <c r="N40" s="3"/>
      <c r="O40" s="3">
        <v>16226</v>
      </c>
      <c r="P40" s="3"/>
      <c r="Q40" s="3">
        <v>1313</v>
      </c>
      <c r="R40" s="3"/>
      <c r="S40" s="3">
        <v>62294</v>
      </c>
      <c r="T40" s="3"/>
      <c r="U40" s="7">
        <f t="shared" si="2"/>
        <v>15820866</v>
      </c>
      <c r="V40" s="3"/>
      <c r="W40" s="3">
        <v>0</v>
      </c>
      <c r="X40" s="3"/>
      <c r="Y40" s="3"/>
      <c r="Z40" s="3"/>
      <c r="AA40" s="3">
        <v>0</v>
      </c>
      <c r="AB40" s="3"/>
      <c r="AC40" s="3" t="s">
        <v>219</v>
      </c>
      <c r="AD40" s="13"/>
      <c r="AE40" s="13" t="s">
        <v>180</v>
      </c>
      <c r="AF40" s="3"/>
      <c r="AG40" s="3">
        <v>0</v>
      </c>
      <c r="AH40" s="3"/>
      <c r="AI40" s="3">
        <v>0</v>
      </c>
      <c r="AJ40" s="3"/>
      <c r="AK40" s="3">
        <f>10000+1843</f>
        <v>11843</v>
      </c>
      <c r="AL40" s="3"/>
      <c r="AM40" s="3">
        <v>0</v>
      </c>
      <c r="AN40" s="3"/>
      <c r="AO40" s="3">
        <v>0</v>
      </c>
      <c r="AP40" s="3"/>
      <c r="AQ40" s="3">
        <v>0</v>
      </c>
      <c r="AR40" s="3"/>
      <c r="AS40" s="3">
        <f t="shared" si="0"/>
        <v>11843</v>
      </c>
      <c r="AT40" s="3"/>
      <c r="AU40" s="3">
        <f t="shared" si="1"/>
        <v>15832709</v>
      </c>
    </row>
    <row r="41" spans="1:47">
      <c r="A41" s="3" t="s">
        <v>370</v>
      </c>
      <c r="B41" s="13"/>
      <c r="C41" s="13" t="s">
        <v>183</v>
      </c>
      <c r="E41" s="3">
        <v>13357037</v>
      </c>
      <c r="F41" s="3"/>
      <c r="G41" s="3">
        <v>15143855</v>
      </c>
      <c r="H41" s="3"/>
      <c r="I41" s="3">
        <v>10284</v>
      </c>
      <c r="J41" s="3"/>
      <c r="K41" s="3">
        <f>2895116+110907</f>
        <v>3006023</v>
      </c>
      <c r="L41" s="3"/>
      <c r="M41" s="3">
        <v>4279</v>
      </c>
      <c r="N41" s="3"/>
      <c r="O41" s="3">
        <v>0</v>
      </c>
      <c r="P41" s="3"/>
      <c r="Q41" s="3">
        <v>0</v>
      </c>
      <c r="R41" s="3"/>
      <c r="S41" s="3">
        <v>365284</v>
      </c>
      <c r="T41" s="3"/>
      <c r="U41" s="7">
        <f t="shared" si="2"/>
        <v>31886762</v>
      </c>
      <c r="V41" s="3"/>
      <c r="W41" s="3">
        <v>0</v>
      </c>
      <c r="X41" s="3"/>
      <c r="Y41" s="3"/>
      <c r="Z41" s="3"/>
      <c r="AA41" s="3">
        <v>0</v>
      </c>
      <c r="AB41" s="3"/>
      <c r="AC41" s="3" t="s">
        <v>370</v>
      </c>
      <c r="AD41" s="13"/>
      <c r="AE41" s="13" t="s">
        <v>183</v>
      </c>
      <c r="AF41" s="3"/>
      <c r="AG41" s="3">
        <v>0</v>
      </c>
      <c r="AH41" s="3"/>
      <c r="AI41" s="3">
        <v>0</v>
      </c>
      <c r="AJ41" s="3"/>
      <c r="AK41" s="3">
        <v>0</v>
      </c>
      <c r="AL41" s="3"/>
      <c r="AM41" s="3">
        <v>0</v>
      </c>
      <c r="AN41" s="3"/>
      <c r="AO41" s="3">
        <v>0</v>
      </c>
      <c r="AP41" s="3"/>
      <c r="AQ41" s="3">
        <v>0</v>
      </c>
      <c r="AR41" s="3"/>
      <c r="AS41" s="3">
        <f t="shared" si="0"/>
        <v>0</v>
      </c>
      <c r="AT41" s="3"/>
      <c r="AU41" s="3">
        <f t="shared" si="1"/>
        <v>31886762</v>
      </c>
    </row>
    <row r="42" spans="1:47">
      <c r="A42" s="3" t="s">
        <v>371</v>
      </c>
      <c r="B42" s="13"/>
      <c r="C42" s="13" t="s">
        <v>185</v>
      </c>
      <c r="E42" s="3">
        <v>5849747</v>
      </c>
      <c r="F42" s="3"/>
      <c r="G42" s="3">
        <v>8429863</v>
      </c>
      <c r="H42" s="3"/>
      <c r="I42" s="3">
        <v>117435</v>
      </c>
      <c r="J42" s="3"/>
      <c r="K42" s="3">
        <f>222226+221101+1020</f>
        <v>444347</v>
      </c>
      <c r="L42" s="3"/>
      <c r="M42" s="3">
        <v>0</v>
      </c>
      <c r="N42" s="3"/>
      <c r="O42" s="3">
        <v>48064</v>
      </c>
      <c r="P42" s="3"/>
      <c r="Q42" s="3">
        <v>0</v>
      </c>
      <c r="R42" s="3"/>
      <c r="S42" s="3">
        <v>54819</v>
      </c>
      <c r="T42" s="3"/>
      <c r="U42" s="7">
        <f t="shared" si="2"/>
        <v>14944275</v>
      </c>
      <c r="V42" s="3"/>
      <c r="W42" s="3">
        <v>0</v>
      </c>
      <c r="X42" s="3"/>
      <c r="Y42" s="3"/>
      <c r="Z42" s="3"/>
      <c r="AA42" s="3">
        <v>0</v>
      </c>
      <c r="AB42" s="3"/>
      <c r="AC42" s="3" t="s">
        <v>371</v>
      </c>
      <c r="AD42" s="13"/>
      <c r="AE42" s="13" t="s">
        <v>185</v>
      </c>
      <c r="AF42" s="3"/>
      <c r="AG42" s="3">
        <v>0</v>
      </c>
      <c r="AH42" s="3"/>
      <c r="AI42" s="3">
        <v>0</v>
      </c>
      <c r="AJ42" s="3"/>
      <c r="AK42" s="3">
        <v>0</v>
      </c>
      <c r="AL42" s="3"/>
      <c r="AM42" s="3">
        <v>0</v>
      </c>
      <c r="AN42" s="3"/>
      <c r="AO42" s="3">
        <v>0</v>
      </c>
      <c r="AP42" s="3"/>
      <c r="AQ42" s="3">
        <v>0</v>
      </c>
      <c r="AR42" s="3"/>
      <c r="AS42" s="3">
        <f t="shared" si="0"/>
        <v>0</v>
      </c>
      <c r="AT42" s="3"/>
      <c r="AU42" s="3">
        <f t="shared" si="1"/>
        <v>14944275</v>
      </c>
    </row>
    <row r="43" spans="1:47">
      <c r="A43" s="3" t="s">
        <v>214</v>
      </c>
      <c r="B43" s="13"/>
      <c r="C43" s="13" t="s">
        <v>176</v>
      </c>
      <c r="E43" s="3">
        <v>4692521</v>
      </c>
      <c r="F43" s="3"/>
      <c r="G43" s="3">
        <v>6324647</v>
      </c>
      <c r="H43" s="3"/>
      <c r="I43" s="3">
        <v>17526</v>
      </c>
      <c r="J43" s="3"/>
      <c r="K43" s="3">
        <f>1534729+188330</f>
        <v>1723059</v>
      </c>
      <c r="L43" s="3"/>
      <c r="M43" s="3">
        <v>0</v>
      </c>
      <c r="N43" s="3"/>
      <c r="O43" s="3">
        <v>0</v>
      </c>
      <c r="P43" s="3"/>
      <c r="Q43" s="3">
        <v>0</v>
      </c>
      <c r="R43" s="3"/>
      <c r="S43" s="3">
        <v>241831</v>
      </c>
      <c r="T43" s="3"/>
      <c r="U43" s="7">
        <f t="shared" si="2"/>
        <v>12999584</v>
      </c>
      <c r="V43" s="3"/>
      <c r="W43" s="3">
        <v>0</v>
      </c>
      <c r="X43" s="3"/>
      <c r="Y43" s="3"/>
      <c r="Z43" s="3"/>
      <c r="AA43" s="3">
        <v>0</v>
      </c>
      <c r="AB43" s="3"/>
      <c r="AC43" s="3" t="s">
        <v>214</v>
      </c>
      <c r="AD43" s="13"/>
      <c r="AE43" s="13" t="s">
        <v>176</v>
      </c>
      <c r="AF43" s="3"/>
      <c r="AG43" s="3">
        <v>0</v>
      </c>
      <c r="AH43" s="3"/>
      <c r="AI43" s="3">
        <v>0</v>
      </c>
      <c r="AJ43" s="3"/>
      <c r="AK43" s="3">
        <v>0</v>
      </c>
      <c r="AL43" s="3"/>
      <c r="AM43" s="3">
        <v>0</v>
      </c>
      <c r="AN43" s="3"/>
      <c r="AO43" s="3">
        <v>0</v>
      </c>
      <c r="AP43" s="3"/>
      <c r="AQ43" s="3">
        <v>0</v>
      </c>
      <c r="AR43" s="3"/>
      <c r="AS43" s="3">
        <f t="shared" si="0"/>
        <v>0</v>
      </c>
      <c r="AT43" s="3"/>
      <c r="AU43" s="3">
        <f t="shared" si="1"/>
        <v>12999584</v>
      </c>
    </row>
    <row r="44" spans="1:47">
      <c r="A44" s="3" t="s">
        <v>328</v>
      </c>
      <c r="B44" s="13"/>
      <c r="C44" s="13" t="s">
        <v>206</v>
      </c>
      <c r="E44" s="3">
        <v>9998108</v>
      </c>
      <c r="F44" s="3"/>
      <c r="G44" s="3">
        <v>15363258</v>
      </c>
      <c r="H44" s="3"/>
      <c r="I44" s="3">
        <v>96775</v>
      </c>
      <c r="J44" s="3"/>
      <c r="K44" s="3">
        <f>7792+225000+2559</f>
        <v>235351</v>
      </c>
      <c r="L44" s="3"/>
      <c r="M44" s="3">
        <v>11104</v>
      </c>
      <c r="N44" s="3"/>
      <c r="O44" s="3">
        <v>292660</v>
      </c>
      <c r="P44" s="3"/>
      <c r="Q44" s="3">
        <v>2373</v>
      </c>
      <c r="R44" s="3"/>
      <c r="S44" s="3">
        <v>14559</v>
      </c>
      <c r="T44" s="3"/>
      <c r="U44" s="7">
        <f t="shared" si="2"/>
        <v>26014188</v>
      </c>
      <c r="V44" s="3"/>
      <c r="W44" s="3">
        <v>0</v>
      </c>
      <c r="X44" s="3"/>
      <c r="Y44" s="3"/>
      <c r="Z44" s="3"/>
      <c r="AA44" s="3">
        <v>0</v>
      </c>
      <c r="AB44" s="3"/>
      <c r="AC44" s="3" t="s">
        <v>328</v>
      </c>
      <c r="AD44" s="13"/>
      <c r="AE44" s="13" t="s">
        <v>206</v>
      </c>
      <c r="AF44" s="3"/>
      <c r="AG44" s="3">
        <v>0</v>
      </c>
      <c r="AH44" s="3"/>
      <c r="AI44" s="3">
        <v>0</v>
      </c>
      <c r="AJ44" s="3"/>
      <c r="AK44" s="3">
        <v>0</v>
      </c>
      <c r="AL44" s="3"/>
      <c r="AM44" s="3">
        <v>0</v>
      </c>
      <c r="AN44" s="3"/>
      <c r="AO44" s="3">
        <v>0</v>
      </c>
      <c r="AP44" s="3"/>
      <c r="AQ44" s="3">
        <v>0</v>
      </c>
      <c r="AR44" s="3"/>
      <c r="AS44" s="3">
        <f t="shared" si="0"/>
        <v>0</v>
      </c>
      <c r="AT44" s="3"/>
      <c r="AU44" s="3">
        <f t="shared" si="1"/>
        <v>26014188</v>
      </c>
    </row>
    <row r="45" spans="1:47">
      <c r="A45" s="3" t="s">
        <v>372</v>
      </c>
      <c r="B45" s="13"/>
      <c r="C45" s="13" t="s">
        <v>192</v>
      </c>
      <c r="E45" s="3">
        <v>4182983</v>
      </c>
      <c r="F45" s="3"/>
      <c r="G45" s="3">
        <v>10542998</v>
      </c>
      <c r="H45" s="3"/>
      <c r="I45" s="3">
        <v>79127</v>
      </c>
      <c r="J45" s="3"/>
      <c r="K45" s="3">
        <f>1600+3705+172227</f>
        <v>177532</v>
      </c>
      <c r="L45" s="3"/>
      <c r="M45" s="3">
        <v>0</v>
      </c>
      <c r="N45" s="3"/>
      <c r="O45" s="3">
        <v>588</v>
      </c>
      <c r="P45" s="3"/>
      <c r="Q45" s="3">
        <v>0</v>
      </c>
      <c r="R45" s="3"/>
      <c r="S45" s="3">
        <v>115848</v>
      </c>
      <c r="T45" s="3"/>
      <c r="U45" s="7">
        <f t="shared" si="2"/>
        <v>15099076</v>
      </c>
      <c r="V45" s="3"/>
      <c r="W45" s="3">
        <v>0</v>
      </c>
      <c r="X45" s="3"/>
      <c r="Y45" s="3"/>
      <c r="Z45" s="3"/>
      <c r="AA45" s="3">
        <v>0</v>
      </c>
      <c r="AB45" s="3"/>
      <c r="AC45" s="3" t="s">
        <v>372</v>
      </c>
      <c r="AD45" s="13"/>
      <c r="AE45" s="13" t="s">
        <v>192</v>
      </c>
      <c r="AF45" s="3"/>
      <c r="AG45" s="3">
        <v>0</v>
      </c>
      <c r="AH45" s="3"/>
      <c r="AI45" s="3">
        <v>83193</v>
      </c>
      <c r="AJ45" s="3"/>
      <c r="AK45" s="3">
        <v>0</v>
      </c>
      <c r="AL45" s="3"/>
      <c r="AM45" s="3">
        <v>0</v>
      </c>
      <c r="AN45" s="3"/>
      <c r="AO45" s="3">
        <v>0</v>
      </c>
      <c r="AP45" s="3"/>
      <c r="AQ45" s="3">
        <v>0</v>
      </c>
      <c r="AR45" s="3"/>
      <c r="AS45" s="3">
        <f t="shared" si="0"/>
        <v>83193</v>
      </c>
      <c r="AT45" s="3"/>
      <c r="AU45" s="3">
        <f t="shared" si="1"/>
        <v>15182269</v>
      </c>
    </row>
    <row r="46" spans="1:47">
      <c r="A46" s="3" t="s">
        <v>249</v>
      </c>
      <c r="B46" s="13"/>
      <c r="C46" s="13" t="s">
        <v>220</v>
      </c>
      <c r="E46" s="3">
        <v>859648</v>
      </c>
      <c r="F46" s="3"/>
      <c r="G46" s="3">
        <v>4747094</v>
      </c>
      <c r="H46" s="3"/>
      <c r="I46" s="3">
        <v>17041</v>
      </c>
      <c r="J46" s="3"/>
      <c r="K46" s="3">
        <f>122202+15550+122034</f>
        <v>259786</v>
      </c>
      <c r="L46" s="3"/>
      <c r="M46" s="3">
        <v>0</v>
      </c>
      <c r="N46" s="3"/>
      <c r="O46" s="3">
        <v>496</v>
      </c>
      <c r="P46" s="3"/>
      <c r="Q46" s="3">
        <v>4706</v>
      </c>
      <c r="R46" s="3"/>
      <c r="S46" s="3">
        <v>62487</v>
      </c>
      <c r="T46" s="3"/>
      <c r="U46" s="7">
        <f t="shared" si="2"/>
        <v>5951258</v>
      </c>
      <c r="V46" s="3"/>
      <c r="W46" s="3">
        <v>49</v>
      </c>
      <c r="X46" s="3"/>
      <c r="Y46" s="3"/>
      <c r="Z46" s="3"/>
      <c r="AA46" s="3">
        <v>0</v>
      </c>
      <c r="AB46" s="3"/>
      <c r="AC46" s="3" t="s">
        <v>249</v>
      </c>
      <c r="AD46" s="13"/>
      <c r="AE46" s="13" t="s">
        <v>220</v>
      </c>
      <c r="AF46" s="3"/>
      <c r="AG46" s="3">
        <v>0</v>
      </c>
      <c r="AH46" s="3"/>
      <c r="AI46" s="3">
        <v>0</v>
      </c>
      <c r="AJ46" s="3"/>
      <c r="AK46" s="3">
        <v>0</v>
      </c>
      <c r="AL46" s="3"/>
      <c r="AM46" s="3">
        <v>0</v>
      </c>
      <c r="AN46" s="3"/>
      <c r="AO46" s="3">
        <v>0</v>
      </c>
      <c r="AP46" s="3"/>
      <c r="AQ46" s="3">
        <v>0</v>
      </c>
      <c r="AR46" s="3"/>
      <c r="AS46" s="3">
        <f t="shared" ref="AS46:AS64" si="3">SUM(W46:AQ46)</f>
        <v>49</v>
      </c>
      <c r="AT46" s="3"/>
      <c r="AU46" s="3">
        <f t="shared" ref="AU46:AU64" si="4">+AS46+U46</f>
        <v>5951307</v>
      </c>
    </row>
    <row r="47" spans="1:47">
      <c r="A47" s="3" t="s">
        <v>373</v>
      </c>
      <c r="B47" s="13"/>
      <c r="C47" s="13" t="s">
        <v>191</v>
      </c>
      <c r="E47" s="3">
        <v>4167987</v>
      </c>
      <c r="F47" s="3"/>
      <c r="G47" s="3">
        <v>10684069</v>
      </c>
      <c r="H47" s="3"/>
      <c r="I47" s="3">
        <v>140194</v>
      </c>
      <c r="J47" s="3"/>
      <c r="K47" s="3">
        <f>183252+162165</f>
        <v>345417</v>
      </c>
      <c r="L47" s="3"/>
      <c r="M47" s="3">
        <v>22198</v>
      </c>
      <c r="N47" s="3"/>
      <c r="O47" s="3">
        <v>0</v>
      </c>
      <c r="P47" s="3"/>
      <c r="Q47" s="3">
        <v>7055</v>
      </c>
      <c r="R47" s="3"/>
      <c r="S47" s="3">
        <v>187732</v>
      </c>
      <c r="T47" s="3"/>
      <c r="U47" s="7">
        <f t="shared" si="2"/>
        <v>15554652</v>
      </c>
      <c r="V47" s="3"/>
      <c r="W47" s="3">
        <v>491</v>
      </c>
      <c r="X47" s="3"/>
      <c r="Y47" s="3"/>
      <c r="Z47" s="3"/>
      <c r="AA47" s="3">
        <v>0</v>
      </c>
      <c r="AB47" s="3"/>
      <c r="AC47" s="3" t="s">
        <v>373</v>
      </c>
      <c r="AD47" s="13"/>
      <c r="AE47" s="13" t="s">
        <v>191</v>
      </c>
      <c r="AF47" s="3"/>
      <c r="AG47" s="3">
        <v>0</v>
      </c>
      <c r="AH47" s="3"/>
      <c r="AI47" s="3">
        <v>79493</v>
      </c>
      <c r="AJ47" s="3"/>
      <c r="AK47" s="3">
        <v>64170</v>
      </c>
      <c r="AL47" s="3"/>
      <c r="AM47" s="3">
        <v>0</v>
      </c>
      <c r="AN47" s="3"/>
      <c r="AO47" s="3">
        <v>0</v>
      </c>
      <c r="AP47" s="3"/>
      <c r="AQ47" s="3">
        <v>0</v>
      </c>
      <c r="AR47" s="3"/>
      <c r="AS47" s="3">
        <f t="shared" si="3"/>
        <v>144154</v>
      </c>
      <c r="AT47" s="3"/>
      <c r="AU47" s="3">
        <f t="shared" si="4"/>
        <v>15698806</v>
      </c>
    </row>
    <row r="48" spans="1:47">
      <c r="A48" s="3" t="s">
        <v>250</v>
      </c>
      <c r="B48" s="13"/>
      <c r="C48" s="13" t="s">
        <v>159</v>
      </c>
      <c r="E48" s="3">
        <v>9092417</v>
      </c>
      <c r="F48" s="3"/>
      <c r="G48" s="3">
        <v>4140328</v>
      </c>
      <c r="H48" s="3"/>
      <c r="I48" s="3">
        <v>41531</v>
      </c>
      <c r="J48" s="3"/>
      <c r="K48" s="3">
        <f>122765+25600</f>
        <v>148365</v>
      </c>
      <c r="L48" s="3"/>
      <c r="M48" s="3">
        <v>0</v>
      </c>
      <c r="N48" s="3"/>
      <c r="O48" s="3">
        <v>0</v>
      </c>
      <c r="P48" s="3"/>
      <c r="Q48" s="3">
        <v>0</v>
      </c>
      <c r="R48" s="3"/>
      <c r="S48" s="3">
        <v>110744</v>
      </c>
      <c r="T48" s="3"/>
      <c r="U48" s="7">
        <f t="shared" si="2"/>
        <v>13533385</v>
      </c>
      <c r="V48" s="3"/>
      <c r="W48" s="3">
        <v>0</v>
      </c>
      <c r="X48" s="3"/>
      <c r="Y48" s="3"/>
      <c r="Z48" s="3"/>
      <c r="AA48" s="3">
        <v>0</v>
      </c>
      <c r="AB48" s="3"/>
      <c r="AC48" s="3" t="s">
        <v>250</v>
      </c>
      <c r="AD48" s="13"/>
      <c r="AE48" s="13" t="s">
        <v>159</v>
      </c>
      <c r="AF48" s="3"/>
      <c r="AG48" s="3">
        <v>0</v>
      </c>
      <c r="AH48" s="3"/>
      <c r="AI48" s="3">
        <v>3394660</v>
      </c>
      <c r="AJ48" s="3"/>
      <c r="AK48" s="3">
        <v>677</v>
      </c>
      <c r="AL48" s="3"/>
      <c r="AM48" s="3">
        <v>0</v>
      </c>
      <c r="AN48" s="3"/>
      <c r="AO48" s="3">
        <v>0</v>
      </c>
      <c r="AP48" s="3"/>
      <c r="AQ48" s="3">
        <v>0</v>
      </c>
      <c r="AR48" s="3"/>
      <c r="AS48" s="3">
        <f t="shared" si="3"/>
        <v>3395337</v>
      </c>
      <c r="AT48" s="3"/>
      <c r="AU48" s="3">
        <f t="shared" si="4"/>
        <v>16928722</v>
      </c>
    </row>
    <row r="49" spans="1:47">
      <c r="A49" s="3" t="s">
        <v>251</v>
      </c>
      <c r="B49" s="13"/>
      <c r="C49" s="13" t="s">
        <v>198</v>
      </c>
      <c r="E49" s="3">
        <v>2871531</v>
      </c>
      <c r="F49" s="3"/>
      <c r="G49" s="3">
        <v>2967530</v>
      </c>
      <c r="H49" s="3"/>
      <c r="I49" s="3">
        <v>41573</v>
      </c>
      <c r="J49" s="3"/>
      <c r="K49" s="3">
        <f>672902+29191</f>
        <v>702093</v>
      </c>
      <c r="L49" s="3"/>
      <c r="M49" s="3">
        <v>8609</v>
      </c>
      <c r="N49" s="3"/>
      <c r="O49" s="3">
        <v>0</v>
      </c>
      <c r="P49" s="3"/>
      <c r="Q49" s="3">
        <v>0</v>
      </c>
      <c r="R49" s="3"/>
      <c r="S49" s="3">
        <v>23132</v>
      </c>
      <c r="T49" s="3"/>
      <c r="U49" s="7">
        <f t="shared" si="2"/>
        <v>6614468</v>
      </c>
      <c r="V49" s="3"/>
      <c r="W49" s="3">
        <v>0</v>
      </c>
      <c r="X49" s="3"/>
      <c r="Y49" s="3"/>
      <c r="Z49" s="3"/>
      <c r="AA49" s="3">
        <v>0</v>
      </c>
      <c r="AB49" s="3"/>
      <c r="AC49" s="3" t="s">
        <v>251</v>
      </c>
      <c r="AD49" s="13"/>
      <c r="AE49" s="13" t="s">
        <v>198</v>
      </c>
      <c r="AF49" s="3"/>
      <c r="AG49" s="3">
        <v>0</v>
      </c>
      <c r="AH49" s="3"/>
      <c r="AI49" s="3">
        <v>0</v>
      </c>
      <c r="AJ49" s="3"/>
      <c r="AK49" s="3">
        <v>0</v>
      </c>
      <c r="AL49" s="3"/>
      <c r="AM49" s="3">
        <v>0</v>
      </c>
      <c r="AN49" s="3"/>
      <c r="AO49" s="3">
        <v>0</v>
      </c>
      <c r="AP49" s="3"/>
      <c r="AQ49" s="3">
        <v>0</v>
      </c>
      <c r="AR49" s="3"/>
      <c r="AS49" s="3">
        <f t="shared" si="3"/>
        <v>0</v>
      </c>
      <c r="AT49" s="3"/>
      <c r="AU49" s="3">
        <f t="shared" si="4"/>
        <v>6614468</v>
      </c>
    </row>
    <row r="50" spans="1:47">
      <c r="A50" s="3" t="s">
        <v>252</v>
      </c>
      <c r="B50" s="13"/>
      <c r="C50" s="13" t="s">
        <v>194</v>
      </c>
      <c r="E50" s="3">
        <v>1834674</v>
      </c>
      <c r="F50" s="3"/>
      <c r="G50" s="3">
        <v>4437854</v>
      </c>
      <c r="H50" s="3"/>
      <c r="I50" s="3">
        <v>45406</v>
      </c>
      <c r="J50" s="3"/>
      <c r="K50" s="3">
        <f>7765+21548</f>
        <v>29313</v>
      </c>
      <c r="L50" s="3"/>
      <c r="M50" s="3">
        <v>27186</v>
      </c>
      <c r="N50" s="3"/>
      <c r="O50" s="3">
        <v>0</v>
      </c>
      <c r="P50" s="3"/>
      <c r="Q50" s="3">
        <v>6079</v>
      </c>
      <c r="R50" s="3"/>
      <c r="S50" s="3">
        <v>72169</v>
      </c>
      <c r="T50" s="3"/>
      <c r="U50" s="7">
        <f t="shared" si="2"/>
        <v>6452681</v>
      </c>
      <c r="V50" s="3"/>
      <c r="W50" s="3">
        <v>0</v>
      </c>
      <c r="X50" s="3"/>
      <c r="Y50" s="3">
        <v>0</v>
      </c>
      <c r="Z50" s="3"/>
      <c r="AA50" s="3">
        <v>0</v>
      </c>
      <c r="AB50" s="3"/>
      <c r="AC50" s="3" t="s">
        <v>252</v>
      </c>
      <c r="AD50" s="13"/>
      <c r="AE50" s="13" t="s">
        <v>194</v>
      </c>
      <c r="AF50" s="3"/>
      <c r="AG50" s="3">
        <v>0</v>
      </c>
      <c r="AH50" s="3"/>
      <c r="AI50" s="3">
        <v>0</v>
      </c>
      <c r="AJ50" s="3"/>
      <c r="AK50" s="3">
        <v>11843</v>
      </c>
      <c r="AL50" s="3"/>
      <c r="AM50" s="3">
        <v>0</v>
      </c>
      <c r="AN50" s="3"/>
      <c r="AO50" s="3">
        <v>0</v>
      </c>
      <c r="AP50" s="3"/>
      <c r="AQ50" s="3">
        <v>0</v>
      </c>
      <c r="AR50" s="3"/>
      <c r="AS50" s="3">
        <f t="shared" si="3"/>
        <v>11843</v>
      </c>
      <c r="AT50" s="3"/>
      <c r="AU50" s="3">
        <f t="shared" si="4"/>
        <v>6464524</v>
      </c>
    </row>
    <row r="51" spans="1:47">
      <c r="A51" s="3" t="s">
        <v>207</v>
      </c>
      <c r="B51" s="13"/>
      <c r="C51" s="13" t="s">
        <v>152</v>
      </c>
      <c r="E51" s="3">
        <v>1642479</v>
      </c>
      <c r="F51" s="3"/>
      <c r="G51" s="3">
        <v>3538057</v>
      </c>
      <c r="H51" s="3"/>
      <c r="I51" s="3">
        <v>37713</v>
      </c>
      <c r="J51" s="3"/>
      <c r="K51" s="3">
        <f>16005+334+94099</f>
        <v>110438</v>
      </c>
      <c r="L51" s="3"/>
      <c r="M51" s="3">
        <v>0</v>
      </c>
      <c r="N51" s="3"/>
      <c r="O51" s="3">
        <v>0</v>
      </c>
      <c r="P51" s="3"/>
      <c r="Q51" s="3">
        <v>230</v>
      </c>
      <c r="R51" s="3"/>
      <c r="S51" s="3">
        <v>2792</v>
      </c>
      <c r="T51" s="3"/>
      <c r="U51" s="7">
        <f t="shared" si="2"/>
        <v>5331709</v>
      </c>
      <c r="V51" s="3"/>
      <c r="W51" s="3">
        <v>0</v>
      </c>
      <c r="X51" s="3"/>
      <c r="Y51" s="3">
        <v>0</v>
      </c>
      <c r="Z51" s="3"/>
      <c r="AA51" s="3">
        <v>0</v>
      </c>
      <c r="AB51" s="3"/>
      <c r="AC51" s="3" t="s">
        <v>207</v>
      </c>
      <c r="AD51" s="13"/>
      <c r="AE51" s="13" t="s">
        <v>152</v>
      </c>
      <c r="AF51" s="3"/>
      <c r="AG51" s="3">
        <v>0</v>
      </c>
      <c r="AH51" s="3"/>
      <c r="AI51" s="3">
        <v>0</v>
      </c>
      <c r="AJ51" s="3"/>
      <c r="AK51" s="3">
        <v>5250</v>
      </c>
      <c r="AL51" s="3"/>
      <c r="AM51" s="3">
        <v>0</v>
      </c>
      <c r="AN51" s="3"/>
      <c r="AO51" s="3">
        <v>0</v>
      </c>
      <c r="AP51" s="3"/>
      <c r="AQ51" s="3">
        <v>0</v>
      </c>
      <c r="AR51" s="3"/>
      <c r="AS51" s="3">
        <f t="shared" si="3"/>
        <v>5250</v>
      </c>
      <c r="AT51" s="3"/>
      <c r="AU51" s="3">
        <f t="shared" si="4"/>
        <v>5336959</v>
      </c>
    </row>
    <row r="52" spans="1:47">
      <c r="A52" s="3" t="s">
        <v>374</v>
      </c>
      <c r="B52" s="13"/>
      <c r="C52" s="13" t="s">
        <v>154</v>
      </c>
      <c r="E52" s="3">
        <v>4657946</v>
      </c>
      <c r="F52" s="3"/>
      <c r="G52" s="3">
        <v>6609148</v>
      </c>
      <c r="H52" s="3"/>
      <c r="I52" s="3">
        <v>27038</v>
      </c>
      <c r="J52" s="3"/>
      <c r="K52" s="3">
        <f>48232+38222+2194</f>
        <v>88648</v>
      </c>
      <c r="L52" s="3"/>
      <c r="M52" s="3">
        <v>0</v>
      </c>
      <c r="N52" s="3"/>
      <c r="O52" s="3">
        <v>0</v>
      </c>
      <c r="P52" s="3"/>
      <c r="Q52" s="3">
        <v>0</v>
      </c>
      <c r="R52" s="3"/>
      <c r="S52" s="3">
        <v>3519</v>
      </c>
      <c r="T52" s="3"/>
      <c r="U52" s="7">
        <f t="shared" si="2"/>
        <v>11386299</v>
      </c>
      <c r="V52" s="3"/>
      <c r="W52" s="3">
        <v>3977</v>
      </c>
      <c r="X52" s="3"/>
      <c r="Y52" s="3">
        <v>0</v>
      </c>
      <c r="Z52" s="3"/>
      <c r="AA52" s="3">
        <v>0</v>
      </c>
      <c r="AB52" s="3"/>
      <c r="AC52" s="3" t="s">
        <v>374</v>
      </c>
      <c r="AD52" s="13"/>
      <c r="AE52" s="13" t="s">
        <v>154</v>
      </c>
      <c r="AF52" s="3"/>
      <c r="AG52" s="3">
        <v>0</v>
      </c>
      <c r="AH52" s="3"/>
      <c r="AI52" s="3">
        <v>0</v>
      </c>
      <c r="AJ52" s="3"/>
      <c r="AK52" s="3">
        <v>22631</v>
      </c>
      <c r="AL52" s="3"/>
      <c r="AM52" s="3">
        <v>0</v>
      </c>
      <c r="AN52" s="3"/>
      <c r="AO52" s="3">
        <v>0</v>
      </c>
      <c r="AP52" s="3"/>
      <c r="AQ52" s="3">
        <v>0</v>
      </c>
      <c r="AR52" s="3"/>
      <c r="AS52" s="3">
        <f t="shared" si="3"/>
        <v>26608</v>
      </c>
      <c r="AT52" s="3"/>
      <c r="AU52" s="3">
        <f t="shared" si="4"/>
        <v>11412907</v>
      </c>
    </row>
    <row r="53" spans="1:47">
      <c r="A53" s="3" t="s">
        <v>221</v>
      </c>
      <c r="B53" s="13"/>
      <c r="C53" s="13" t="s">
        <v>197</v>
      </c>
      <c r="E53" s="3">
        <v>2176761</v>
      </c>
      <c r="F53" s="3"/>
      <c r="G53" s="3">
        <f>2319+4919609+21755</f>
        <v>4943683</v>
      </c>
      <c r="H53" s="3"/>
      <c r="I53" s="3">
        <v>90699</v>
      </c>
      <c r="J53" s="3"/>
      <c r="K53" s="3">
        <v>3438</v>
      </c>
      <c r="L53" s="3"/>
      <c r="M53" s="3">
        <v>0</v>
      </c>
      <c r="N53" s="3"/>
      <c r="O53" s="3">
        <v>0</v>
      </c>
      <c r="P53" s="3"/>
      <c r="Q53" s="3">
        <v>0</v>
      </c>
      <c r="R53" s="3"/>
      <c r="S53" s="3">
        <v>231794</v>
      </c>
      <c r="T53" s="3"/>
      <c r="U53" s="7">
        <f t="shared" si="2"/>
        <v>7446375</v>
      </c>
      <c r="V53" s="3"/>
      <c r="W53" s="3">
        <v>0</v>
      </c>
      <c r="X53" s="3"/>
      <c r="Y53" s="3">
        <v>0</v>
      </c>
      <c r="Z53" s="3"/>
      <c r="AA53" s="3">
        <v>0</v>
      </c>
      <c r="AB53" s="3"/>
      <c r="AC53" s="3" t="s">
        <v>221</v>
      </c>
      <c r="AD53" s="13"/>
      <c r="AE53" s="13" t="s">
        <v>197</v>
      </c>
      <c r="AF53" s="3"/>
      <c r="AG53" s="3">
        <v>0</v>
      </c>
      <c r="AH53" s="3"/>
      <c r="AI53" s="3">
        <v>0</v>
      </c>
      <c r="AJ53" s="3"/>
      <c r="AK53" s="3">
        <v>0</v>
      </c>
      <c r="AL53" s="3"/>
      <c r="AM53" s="3">
        <v>0</v>
      </c>
      <c r="AN53" s="3"/>
      <c r="AO53" s="3">
        <v>0</v>
      </c>
      <c r="AP53" s="3"/>
      <c r="AQ53" s="3">
        <v>0</v>
      </c>
      <c r="AR53" s="3"/>
      <c r="AS53" s="3">
        <f t="shared" si="3"/>
        <v>0</v>
      </c>
      <c r="AT53" s="3"/>
      <c r="AU53" s="3">
        <f t="shared" si="4"/>
        <v>7446375</v>
      </c>
    </row>
    <row r="54" spans="1:47">
      <c r="A54" s="3" t="s">
        <v>277</v>
      </c>
      <c r="B54" s="13"/>
      <c r="C54" s="13" t="s">
        <v>216</v>
      </c>
      <c r="E54" s="3">
        <v>9089023</v>
      </c>
      <c r="F54" s="3"/>
      <c r="G54" s="3">
        <v>3320927</v>
      </c>
      <c r="H54" s="3"/>
      <c r="I54" s="3">
        <v>43321</v>
      </c>
      <c r="J54" s="3"/>
      <c r="K54" s="3">
        <v>194811</v>
      </c>
      <c r="L54" s="3"/>
      <c r="M54" s="3">
        <v>0</v>
      </c>
      <c r="N54" s="3"/>
      <c r="O54" s="3">
        <v>0</v>
      </c>
      <c r="P54" s="3"/>
      <c r="Q54" s="3">
        <v>0</v>
      </c>
      <c r="R54" s="3"/>
      <c r="S54" s="3">
        <v>318348</v>
      </c>
      <c r="T54" s="3"/>
      <c r="U54" s="7">
        <f t="shared" si="2"/>
        <v>12966430</v>
      </c>
      <c r="V54" s="3"/>
      <c r="W54" s="3">
        <v>0</v>
      </c>
      <c r="X54" s="3"/>
      <c r="Y54" s="3">
        <v>0</v>
      </c>
      <c r="Z54" s="3"/>
      <c r="AA54" s="3">
        <v>0</v>
      </c>
      <c r="AB54" s="3"/>
      <c r="AC54" s="3" t="s">
        <v>277</v>
      </c>
      <c r="AD54" s="13"/>
      <c r="AE54" s="13" t="s">
        <v>216</v>
      </c>
      <c r="AF54" s="3"/>
      <c r="AG54" s="3">
        <v>0</v>
      </c>
      <c r="AH54" s="3"/>
      <c r="AI54" s="3">
        <v>129381</v>
      </c>
      <c r="AJ54" s="3"/>
      <c r="AK54" s="3">
        <v>13555</v>
      </c>
      <c r="AL54" s="3"/>
      <c r="AM54" s="3">
        <v>0</v>
      </c>
      <c r="AN54" s="3"/>
      <c r="AO54" s="3">
        <v>0</v>
      </c>
      <c r="AP54" s="3"/>
      <c r="AQ54" s="3">
        <v>0</v>
      </c>
      <c r="AR54" s="3"/>
      <c r="AS54" s="3">
        <f t="shared" si="3"/>
        <v>142936</v>
      </c>
      <c r="AT54" s="3"/>
      <c r="AU54" s="3">
        <f t="shared" si="4"/>
        <v>13109366</v>
      </c>
    </row>
    <row r="55" spans="1:47">
      <c r="A55" s="3" t="s">
        <v>290</v>
      </c>
      <c r="B55" s="13"/>
      <c r="C55" s="13" t="s">
        <v>147</v>
      </c>
      <c r="E55" s="3">
        <v>3144834</v>
      </c>
      <c r="F55" s="3"/>
      <c r="G55" s="3">
        <v>3861922</v>
      </c>
      <c r="H55" s="3"/>
      <c r="I55" s="3">
        <v>3756</v>
      </c>
      <c r="J55" s="3"/>
      <c r="K55" s="3">
        <v>0</v>
      </c>
      <c r="L55" s="3"/>
      <c r="M55" s="3">
        <v>0</v>
      </c>
      <c r="N55" s="3"/>
      <c r="O55" s="3">
        <v>0</v>
      </c>
      <c r="P55" s="3"/>
      <c r="Q55" s="3">
        <v>0</v>
      </c>
      <c r="R55" s="3"/>
      <c r="S55" s="3">
        <v>19691</v>
      </c>
      <c r="T55" s="3"/>
      <c r="U55" s="7">
        <f t="shared" si="2"/>
        <v>7030203</v>
      </c>
      <c r="V55" s="3"/>
      <c r="W55" s="3">
        <v>0</v>
      </c>
      <c r="X55" s="3"/>
      <c r="Y55" s="3">
        <v>0</v>
      </c>
      <c r="Z55" s="3"/>
      <c r="AA55" s="3">
        <v>0</v>
      </c>
      <c r="AB55" s="3"/>
      <c r="AC55" s="3" t="s">
        <v>290</v>
      </c>
      <c r="AD55" s="13"/>
      <c r="AE55" s="13" t="s">
        <v>147</v>
      </c>
      <c r="AF55" s="3"/>
      <c r="AG55" s="3">
        <v>0</v>
      </c>
      <c r="AH55" s="3"/>
      <c r="AI55" s="3">
        <v>0</v>
      </c>
      <c r="AJ55" s="3"/>
      <c r="AK55" s="3">
        <v>0</v>
      </c>
      <c r="AL55" s="3"/>
      <c r="AM55" s="3">
        <v>0</v>
      </c>
      <c r="AN55" s="3"/>
      <c r="AO55" s="3">
        <v>0</v>
      </c>
      <c r="AP55" s="3"/>
      <c r="AQ55" s="3">
        <v>0</v>
      </c>
      <c r="AR55" s="3"/>
      <c r="AS55" s="3">
        <f t="shared" si="3"/>
        <v>0</v>
      </c>
      <c r="AT55" s="3"/>
      <c r="AU55" s="3">
        <f t="shared" si="4"/>
        <v>7030203</v>
      </c>
    </row>
    <row r="56" spans="1:47">
      <c r="A56" s="3" t="s">
        <v>217</v>
      </c>
      <c r="B56" s="13"/>
      <c r="C56" s="13" t="s">
        <v>218</v>
      </c>
      <c r="E56" s="3">
        <v>3736649</v>
      </c>
      <c r="F56" s="3"/>
      <c r="G56" s="3">
        <v>6568406</v>
      </c>
      <c r="H56" s="3"/>
      <c r="I56" s="3">
        <v>3394</v>
      </c>
      <c r="J56" s="3"/>
      <c r="K56" s="3">
        <f>1810+31177</f>
        <v>32987</v>
      </c>
      <c r="L56" s="3"/>
      <c r="M56" s="3">
        <v>0</v>
      </c>
      <c r="N56" s="3"/>
      <c r="O56" s="3">
        <v>9490</v>
      </c>
      <c r="P56" s="3"/>
      <c r="Q56" s="3">
        <v>250</v>
      </c>
      <c r="R56" s="3"/>
      <c r="S56" s="3">
        <v>215201</v>
      </c>
      <c r="T56" s="3"/>
      <c r="U56" s="7">
        <f t="shared" si="2"/>
        <v>10566377</v>
      </c>
      <c r="V56" s="3"/>
      <c r="W56" s="3">
        <v>106194</v>
      </c>
      <c r="X56" s="3"/>
      <c r="Y56" s="3">
        <v>0</v>
      </c>
      <c r="Z56" s="3"/>
      <c r="AA56" s="3">
        <v>0</v>
      </c>
      <c r="AB56" s="3"/>
      <c r="AC56" s="3" t="s">
        <v>217</v>
      </c>
      <c r="AD56" s="13"/>
      <c r="AE56" s="13" t="s">
        <v>218</v>
      </c>
      <c r="AF56" s="3"/>
      <c r="AG56" s="3">
        <v>0</v>
      </c>
      <c r="AH56" s="3"/>
      <c r="AI56" s="3">
        <v>261980</v>
      </c>
      <c r="AJ56" s="3"/>
      <c r="AK56" s="3">
        <v>0</v>
      </c>
      <c r="AL56" s="3"/>
      <c r="AM56" s="3">
        <v>0</v>
      </c>
      <c r="AN56" s="3"/>
      <c r="AO56" s="3">
        <v>0</v>
      </c>
      <c r="AP56" s="3"/>
      <c r="AQ56" s="3">
        <v>0</v>
      </c>
      <c r="AR56" s="3"/>
      <c r="AS56" s="3">
        <f t="shared" si="3"/>
        <v>368174</v>
      </c>
      <c r="AT56" s="3"/>
      <c r="AU56" s="3">
        <f t="shared" si="4"/>
        <v>10934551</v>
      </c>
    </row>
    <row r="57" spans="1:47">
      <c r="A57" s="3" t="s">
        <v>375</v>
      </c>
      <c r="B57" s="13"/>
      <c r="C57" s="13" t="s">
        <v>199</v>
      </c>
      <c r="E57" s="3">
        <v>4958254</v>
      </c>
      <c r="F57" s="3"/>
      <c r="G57" s="3">
        <f>17412+7493300+4634</f>
        <v>7515346</v>
      </c>
      <c r="H57" s="3"/>
      <c r="I57" s="3">
        <v>96413</v>
      </c>
      <c r="J57" s="3"/>
      <c r="K57" s="3">
        <f>76639+180317+133224</f>
        <v>390180</v>
      </c>
      <c r="L57" s="3"/>
      <c r="M57" s="3">
        <v>15546</v>
      </c>
      <c r="N57" s="3"/>
      <c r="O57" s="3">
        <v>0</v>
      </c>
      <c r="P57" s="3"/>
      <c r="Q57" s="3">
        <v>560</v>
      </c>
      <c r="R57" s="3"/>
      <c r="S57" s="3">
        <v>18972</v>
      </c>
      <c r="T57" s="3"/>
      <c r="U57" s="7">
        <f t="shared" si="2"/>
        <v>12995271</v>
      </c>
      <c r="V57" s="3"/>
      <c r="W57" s="3">
        <v>0</v>
      </c>
      <c r="X57" s="3"/>
      <c r="Y57" s="3">
        <v>0</v>
      </c>
      <c r="Z57" s="3"/>
      <c r="AA57" s="3">
        <v>0</v>
      </c>
      <c r="AB57" s="3"/>
      <c r="AC57" s="3" t="s">
        <v>375</v>
      </c>
      <c r="AD57" s="13"/>
      <c r="AE57" s="13" t="s">
        <v>199</v>
      </c>
      <c r="AF57" s="3"/>
      <c r="AG57" s="3">
        <v>0</v>
      </c>
      <c r="AH57" s="3"/>
      <c r="AI57" s="3">
        <v>0</v>
      </c>
      <c r="AJ57" s="3"/>
      <c r="AK57" s="3">
        <v>1571</v>
      </c>
      <c r="AL57" s="3"/>
      <c r="AM57" s="3">
        <v>0</v>
      </c>
      <c r="AN57" s="3"/>
      <c r="AO57" s="3">
        <v>0</v>
      </c>
      <c r="AP57" s="3"/>
      <c r="AQ57" s="3">
        <v>0</v>
      </c>
      <c r="AR57" s="3"/>
      <c r="AS57" s="3">
        <f t="shared" si="3"/>
        <v>1571</v>
      </c>
      <c r="AT57" s="3"/>
      <c r="AU57" s="3">
        <f t="shared" si="4"/>
        <v>12996842</v>
      </c>
    </row>
    <row r="58" spans="1:47">
      <c r="A58" s="3" t="s">
        <v>208</v>
      </c>
      <c r="B58" s="13"/>
      <c r="C58" s="13" t="s">
        <v>156</v>
      </c>
      <c r="E58" s="3">
        <v>2997511</v>
      </c>
      <c r="F58" s="3"/>
      <c r="G58" s="3">
        <v>3851984</v>
      </c>
      <c r="H58" s="3"/>
      <c r="I58" s="3">
        <v>206798</v>
      </c>
      <c r="J58" s="3"/>
      <c r="K58" s="3">
        <f>176874+133798</f>
        <v>310672</v>
      </c>
      <c r="L58" s="3"/>
      <c r="M58" s="3">
        <v>0</v>
      </c>
      <c r="N58" s="3"/>
      <c r="O58" s="3">
        <v>0</v>
      </c>
      <c r="P58" s="3"/>
      <c r="Q58" s="3">
        <v>0</v>
      </c>
      <c r="R58" s="3"/>
      <c r="S58" s="3">
        <v>20477</v>
      </c>
      <c r="T58" s="3"/>
      <c r="U58" s="7">
        <f t="shared" si="2"/>
        <v>7387442</v>
      </c>
      <c r="V58" s="3"/>
      <c r="W58" s="3">
        <v>0</v>
      </c>
      <c r="X58" s="3"/>
      <c r="Y58" s="3">
        <v>0</v>
      </c>
      <c r="Z58" s="3"/>
      <c r="AA58" s="3">
        <v>0</v>
      </c>
      <c r="AB58" s="3"/>
      <c r="AC58" s="3" t="s">
        <v>208</v>
      </c>
      <c r="AD58" s="13"/>
      <c r="AE58" s="13" t="s">
        <v>156</v>
      </c>
      <c r="AF58" s="3"/>
      <c r="AG58" s="3">
        <v>0</v>
      </c>
      <c r="AH58" s="3"/>
      <c r="AI58" s="3">
        <v>0</v>
      </c>
      <c r="AJ58" s="3"/>
      <c r="AK58" s="3">
        <v>300</v>
      </c>
      <c r="AL58" s="3"/>
      <c r="AM58" s="3">
        <v>0</v>
      </c>
      <c r="AN58" s="3"/>
      <c r="AO58" s="3">
        <v>0</v>
      </c>
      <c r="AP58" s="3"/>
      <c r="AQ58" s="3">
        <v>0</v>
      </c>
      <c r="AR58" s="3"/>
      <c r="AS58" s="3">
        <f t="shared" si="3"/>
        <v>300</v>
      </c>
      <c r="AT58" s="3"/>
      <c r="AU58" s="3">
        <f t="shared" si="4"/>
        <v>7387742</v>
      </c>
    </row>
    <row r="59" spans="1:47">
      <c r="A59" s="3" t="s">
        <v>363</v>
      </c>
      <c r="B59" s="13"/>
      <c r="C59" s="13" t="s">
        <v>182</v>
      </c>
      <c r="E59" s="3">
        <v>5940589</v>
      </c>
      <c r="F59" s="3"/>
      <c r="G59" s="3">
        <v>11020638</v>
      </c>
      <c r="H59" s="3"/>
      <c r="I59" s="3">
        <v>8934</v>
      </c>
      <c r="J59" s="3"/>
      <c r="K59" s="3">
        <f>263961+80926+625</f>
        <v>345512</v>
      </c>
      <c r="L59" s="3"/>
      <c r="M59" s="3">
        <v>0</v>
      </c>
      <c r="N59" s="3"/>
      <c r="O59" s="3">
        <v>0</v>
      </c>
      <c r="P59" s="3"/>
      <c r="Q59" s="3">
        <v>8667</v>
      </c>
      <c r="R59" s="3"/>
      <c r="S59" s="3">
        <v>190955</v>
      </c>
      <c r="T59" s="3"/>
      <c r="U59" s="7">
        <f t="shared" si="2"/>
        <v>17515295</v>
      </c>
      <c r="V59" s="3"/>
      <c r="W59" s="3">
        <v>0</v>
      </c>
      <c r="X59" s="3"/>
      <c r="Y59" s="3">
        <v>0</v>
      </c>
      <c r="Z59" s="3"/>
      <c r="AA59" s="3">
        <v>0</v>
      </c>
      <c r="AB59" s="3"/>
      <c r="AC59" s="3" t="s">
        <v>363</v>
      </c>
      <c r="AD59" s="13"/>
      <c r="AE59" s="13" t="s">
        <v>182</v>
      </c>
      <c r="AF59" s="3"/>
      <c r="AG59" s="3">
        <v>0</v>
      </c>
      <c r="AH59" s="3"/>
      <c r="AI59" s="3">
        <v>0</v>
      </c>
      <c r="AJ59" s="3"/>
      <c r="AK59" s="3">
        <v>0</v>
      </c>
      <c r="AL59" s="3"/>
      <c r="AM59" s="3">
        <v>0</v>
      </c>
      <c r="AN59" s="3"/>
      <c r="AO59" s="3">
        <v>0</v>
      </c>
      <c r="AP59" s="3"/>
      <c r="AQ59" s="3">
        <v>0</v>
      </c>
      <c r="AR59" s="3"/>
      <c r="AS59" s="3">
        <f t="shared" si="3"/>
        <v>0</v>
      </c>
      <c r="AT59" s="3"/>
      <c r="AU59" s="3">
        <f t="shared" si="4"/>
        <v>17515295</v>
      </c>
    </row>
    <row r="60" spans="1:47">
      <c r="A60" s="3" t="s">
        <v>253</v>
      </c>
      <c r="B60" s="13"/>
      <c r="C60" s="13" t="s">
        <v>193</v>
      </c>
      <c r="E60" s="3">
        <v>3145123</v>
      </c>
      <c r="F60" s="3"/>
      <c r="G60" s="3">
        <v>9298557</v>
      </c>
      <c r="H60" s="3"/>
      <c r="I60" s="3">
        <v>117586</v>
      </c>
      <c r="J60" s="3"/>
      <c r="K60" s="3">
        <f>113183+90828+131582</f>
        <v>335593</v>
      </c>
      <c r="L60" s="3"/>
      <c r="M60" s="3">
        <v>0</v>
      </c>
      <c r="N60" s="3"/>
      <c r="O60" s="3">
        <v>0</v>
      </c>
      <c r="P60" s="3"/>
      <c r="Q60" s="3">
        <v>3070</v>
      </c>
      <c r="R60" s="3"/>
      <c r="S60" s="3">
        <v>282507</v>
      </c>
      <c r="T60" s="3"/>
      <c r="U60" s="7">
        <f t="shared" si="2"/>
        <v>13182436</v>
      </c>
      <c r="V60" s="3"/>
      <c r="W60" s="3">
        <v>0</v>
      </c>
      <c r="X60" s="3"/>
      <c r="Y60" s="3">
        <v>0</v>
      </c>
      <c r="Z60" s="3"/>
      <c r="AA60" s="3">
        <v>0</v>
      </c>
      <c r="AB60" s="3"/>
      <c r="AC60" s="3" t="s">
        <v>253</v>
      </c>
      <c r="AD60" s="13"/>
      <c r="AE60" s="13" t="s">
        <v>193</v>
      </c>
      <c r="AF60" s="3"/>
      <c r="AG60" s="3">
        <v>0</v>
      </c>
      <c r="AH60" s="3"/>
      <c r="AI60" s="3">
        <v>0</v>
      </c>
      <c r="AJ60" s="3"/>
      <c r="AK60" s="3">
        <v>0</v>
      </c>
      <c r="AL60" s="3"/>
      <c r="AM60" s="3">
        <v>0</v>
      </c>
      <c r="AN60" s="3"/>
      <c r="AO60" s="3">
        <v>0</v>
      </c>
      <c r="AP60" s="3"/>
      <c r="AQ60" s="3">
        <v>0</v>
      </c>
      <c r="AR60" s="3"/>
      <c r="AS60" s="3">
        <f t="shared" si="3"/>
        <v>0</v>
      </c>
      <c r="AT60" s="3"/>
      <c r="AU60" s="3">
        <f t="shared" si="4"/>
        <v>13182436</v>
      </c>
    </row>
    <row r="61" spans="1:47">
      <c r="A61" s="3" t="s">
        <v>254</v>
      </c>
      <c r="B61" s="13"/>
      <c r="C61" s="13" t="s">
        <v>202</v>
      </c>
      <c r="E61" s="3">
        <v>2556648</v>
      </c>
      <c r="F61" s="3"/>
      <c r="G61" s="3">
        <f>28082+4167345</f>
        <v>4195427</v>
      </c>
      <c r="H61" s="3"/>
      <c r="I61" s="3">
        <v>78407</v>
      </c>
      <c r="J61" s="3"/>
      <c r="K61" s="3">
        <f>507565+172500+19865+2162+116069</f>
        <v>818161</v>
      </c>
      <c r="L61" s="3"/>
      <c r="M61" s="3">
        <v>689</v>
      </c>
      <c r="N61" s="3"/>
      <c r="O61" s="3">
        <v>0</v>
      </c>
      <c r="P61" s="3"/>
      <c r="Q61" s="3">
        <v>58000</v>
      </c>
      <c r="R61" s="3"/>
      <c r="S61" s="3">
        <v>40790</v>
      </c>
      <c r="T61" s="3"/>
      <c r="U61" s="7">
        <f t="shared" si="2"/>
        <v>7748122</v>
      </c>
      <c r="V61" s="3"/>
      <c r="W61" s="3">
        <v>0</v>
      </c>
      <c r="X61" s="3"/>
      <c r="Y61" s="3">
        <v>0</v>
      </c>
      <c r="Z61" s="3"/>
      <c r="AA61" s="3">
        <v>0</v>
      </c>
      <c r="AB61" s="3"/>
      <c r="AC61" s="3" t="s">
        <v>254</v>
      </c>
      <c r="AD61" s="13"/>
      <c r="AE61" s="13" t="s">
        <v>202</v>
      </c>
      <c r="AF61" s="3"/>
      <c r="AG61" s="3">
        <v>0</v>
      </c>
      <c r="AH61" s="3"/>
      <c r="AI61" s="3">
        <v>0</v>
      </c>
      <c r="AJ61" s="3"/>
      <c r="AK61" s="3">
        <v>0</v>
      </c>
      <c r="AL61" s="3"/>
      <c r="AM61" s="3">
        <v>0</v>
      </c>
      <c r="AN61" s="3"/>
      <c r="AO61" s="3">
        <v>0</v>
      </c>
      <c r="AP61" s="3"/>
      <c r="AQ61" s="3">
        <v>0</v>
      </c>
      <c r="AR61" s="3"/>
      <c r="AS61" s="3">
        <f t="shared" si="3"/>
        <v>0</v>
      </c>
      <c r="AT61" s="3"/>
      <c r="AU61" s="3">
        <f t="shared" si="4"/>
        <v>7748122</v>
      </c>
    </row>
    <row r="62" spans="1:47">
      <c r="A62" s="3" t="s">
        <v>360</v>
      </c>
      <c r="B62" s="13"/>
      <c r="C62" s="13" t="s">
        <v>203</v>
      </c>
      <c r="E62" s="3">
        <v>7653563</v>
      </c>
      <c r="F62" s="3"/>
      <c r="G62" s="3">
        <v>6031361</v>
      </c>
      <c r="H62" s="3"/>
      <c r="I62" s="3">
        <v>175594</v>
      </c>
      <c r="J62" s="3"/>
      <c r="K62" s="3">
        <f>497662+26973</f>
        <v>524635</v>
      </c>
      <c r="L62" s="3"/>
      <c r="M62" s="3">
        <v>0</v>
      </c>
      <c r="N62" s="3"/>
      <c r="O62" s="3">
        <v>129520</v>
      </c>
      <c r="P62" s="3"/>
      <c r="Q62" s="3">
        <v>6427</v>
      </c>
      <c r="R62" s="3"/>
      <c r="S62" s="3">
        <v>155646</v>
      </c>
      <c r="T62" s="3"/>
      <c r="U62" s="7">
        <f t="shared" si="2"/>
        <v>14676746</v>
      </c>
      <c r="V62" s="3"/>
      <c r="W62" s="3">
        <v>0</v>
      </c>
      <c r="X62" s="3"/>
      <c r="Y62" s="3">
        <v>0</v>
      </c>
      <c r="Z62" s="3"/>
      <c r="AA62" s="3">
        <v>0</v>
      </c>
      <c r="AB62" s="3"/>
      <c r="AC62" s="3" t="s">
        <v>360</v>
      </c>
      <c r="AD62" s="13"/>
      <c r="AE62" s="13" t="s">
        <v>203</v>
      </c>
      <c r="AF62" s="3"/>
      <c r="AG62" s="3">
        <v>0</v>
      </c>
      <c r="AH62" s="3"/>
      <c r="AI62" s="3">
        <v>75240</v>
      </c>
      <c r="AJ62" s="3"/>
      <c r="AK62" s="3">
        <v>2309</v>
      </c>
      <c r="AL62" s="3"/>
      <c r="AM62" s="3">
        <v>0</v>
      </c>
      <c r="AN62" s="3"/>
      <c r="AO62" s="3">
        <v>0</v>
      </c>
      <c r="AP62" s="3"/>
      <c r="AQ62" s="3">
        <v>0</v>
      </c>
      <c r="AR62" s="3"/>
      <c r="AS62" s="3">
        <f t="shared" si="3"/>
        <v>77549</v>
      </c>
      <c r="AT62" s="3"/>
      <c r="AU62" s="3">
        <f t="shared" si="4"/>
        <v>14754295</v>
      </c>
    </row>
    <row r="63" spans="1:47">
      <c r="A63" s="3" t="s">
        <v>267</v>
      </c>
      <c r="B63" s="13"/>
      <c r="C63" s="13" t="s">
        <v>204</v>
      </c>
      <c r="E63" s="3">
        <v>1902320</v>
      </c>
      <c r="F63" s="3"/>
      <c r="G63" s="3">
        <v>3463580</v>
      </c>
      <c r="H63" s="3"/>
      <c r="I63" s="3">
        <v>161704</v>
      </c>
      <c r="J63" s="3"/>
      <c r="K63" s="3">
        <f>27865+63450</f>
        <v>91315</v>
      </c>
      <c r="L63" s="3"/>
      <c r="M63" s="3">
        <v>0</v>
      </c>
      <c r="N63" s="3"/>
      <c r="O63" s="3">
        <v>50603</v>
      </c>
      <c r="P63" s="3"/>
      <c r="Q63" s="3">
        <v>13448</v>
      </c>
      <c r="R63" s="3"/>
      <c r="S63" s="3">
        <v>19243</v>
      </c>
      <c r="T63" s="3"/>
      <c r="U63" s="7">
        <f t="shared" si="2"/>
        <v>5702213</v>
      </c>
      <c r="V63" s="3"/>
      <c r="W63" s="3">
        <v>0</v>
      </c>
      <c r="X63" s="3"/>
      <c r="Y63" s="3">
        <v>0</v>
      </c>
      <c r="Z63" s="3"/>
      <c r="AA63" s="3">
        <v>0</v>
      </c>
      <c r="AB63" s="3"/>
      <c r="AC63" s="3" t="s">
        <v>267</v>
      </c>
      <c r="AD63" s="13"/>
      <c r="AE63" s="13" t="s">
        <v>204</v>
      </c>
      <c r="AF63" s="3"/>
      <c r="AG63" s="3">
        <v>0</v>
      </c>
      <c r="AH63" s="3"/>
      <c r="AI63" s="3">
        <v>0</v>
      </c>
      <c r="AJ63" s="3"/>
      <c r="AK63" s="3">
        <v>897</v>
      </c>
      <c r="AL63" s="3"/>
      <c r="AM63" s="3">
        <v>0</v>
      </c>
      <c r="AN63" s="3"/>
      <c r="AO63" s="3">
        <v>0</v>
      </c>
      <c r="AP63" s="3"/>
      <c r="AQ63" s="3">
        <v>0</v>
      </c>
      <c r="AR63" s="3"/>
      <c r="AS63" s="3">
        <f t="shared" si="3"/>
        <v>897</v>
      </c>
      <c r="AT63" s="3"/>
      <c r="AU63" s="3">
        <f t="shared" si="4"/>
        <v>5703110</v>
      </c>
    </row>
    <row r="64" spans="1:47">
      <c r="A64" s="3" t="s">
        <v>361</v>
      </c>
      <c r="B64" s="13"/>
      <c r="C64" s="13" t="s">
        <v>205</v>
      </c>
      <c r="E64" s="3">
        <v>4591628</v>
      </c>
      <c r="F64" s="3"/>
      <c r="G64" s="3">
        <v>7103928</v>
      </c>
      <c r="H64" s="3"/>
      <c r="I64" s="3">
        <v>15943</v>
      </c>
      <c r="J64" s="3"/>
      <c r="K64" s="3">
        <f>152378+109789</f>
        <v>262167</v>
      </c>
      <c r="L64" s="3"/>
      <c r="M64" s="3">
        <v>0</v>
      </c>
      <c r="N64" s="3"/>
      <c r="O64" s="3">
        <v>0</v>
      </c>
      <c r="P64" s="3"/>
      <c r="Q64" s="3">
        <v>104571</v>
      </c>
      <c r="R64" s="3"/>
      <c r="S64" s="3">
        <v>40009</v>
      </c>
      <c r="T64" s="3"/>
      <c r="U64" s="7">
        <f t="shared" si="2"/>
        <v>12118246</v>
      </c>
      <c r="V64" s="3"/>
      <c r="W64" s="3">
        <v>0</v>
      </c>
      <c r="X64" s="3"/>
      <c r="Y64" s="3">
        <v>0</v>
      </c>
      <c r="Z64" s="3"/>
      <c r="AA64" s="3">
        <v>0</v>
      </c>
      <c r="AB64" s="3"/>
      <c r="AC64" s="3" t="s">
        <v>361</v>
      </c>
      <c r="AD64" s="13"/>
      <c r="AE64" s="13" t="s">
        <v>205</v>
      </c>
      <c r="AF64" s="3"/>
      <c r="AG64" s="3">
        <v>0</v>
      </c>
      <c r="AH64" s="3"/>
      <c r="AI64" s="3">
        <v>0</v>
      </c>
      <c r="AJ64" s="3"/>
      <c r="AK64" s="3">
        <v>0</v>
      </c>
      <c r="AL64" s="3"/>
      <c r="AM64" s="3">
        <v>0</v>
      </c>
      <c r="AN64" s="3"/>
      <c r="AO64" s="3">
        <v>22633</v>
      </c>
      <c r="AP64" s="3"/>
      <c r="AQ64" s="3">
        <v>0</v>
      </c>
      <c r="AR64" s="3"/>
      <c r="AS64" s="3">
        <f t="shared" si="3"/>
        <v>22633</v>
      </c>
      <c r="AT64" s="3"/>
      <c r="AU64" s="3">
        <f t="shared" si="4"/>
        <v>12140879</v>
      </c>
    </row>
    <row r="65" spans="1:47">
      <c r="A65" s="72"/>
      <c r="B65" s="72"/>
      <c r="C65" s="72"/>
      <c r="D65" s="72"/>
      <c r="E65" s="72"/>
      <c r="F65" s="72"/>
      <c r="Y65" s="30" t="s">
        <v>257</v>
      </c>
      <c r="Z65" s="30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3"/>
      <c r="AT65" s="27"/>
    </row>
    <row r="66" spans="1:47">
      <c r="A66" s="3"/>
      <c r="B66" s="13"/>
      <c r="C66" s="3"/>
      <c r="AA66" s="14" t="s">
        <v>257</v>
      </c>
      <c r="AC66" s="3"/>
      <c r="AD66" s="13"/>
      <c r="AE66" s="3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3"/>
      <c r="AT66" s="27"/>
      <c r="AU66" s="14" t="s">
        <v>257</v>
      </c>
    </row>
    <row r="67" spans="1:47">
      <c r="A67" s="31" t="s">
        <v>256</v>
      </c>
      <c r="B67" s="13"/>
      <c r="C67" s="13"/>
      <c r="AC67" s="31" t="s">
        <v>256</v>
      </c>
      <c r="AD67" s="13"/>
      <c r="AE67" s="13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3"/>
      <c r="AT67" s="27"/>
      <c r="AU67" s="27"/>
    </row>
    <row r="68" spans="1:47">
      <c r="A68" s="31"/>
      <c r="B68" s="13"/>
      <c r="C68" s="13"/>
      <c r="AC68" s="31"/>
      <c r="AD68" s="13"/>
      <c r="AE68" s="13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3"/>
      <c r="AT68" s="27"/>
      <c r="AU68" s="27"/>
    </row>
    <row r="69" spans="1:47" hidden="1">
      <c r="A69" s="3" t="s">
        <v>333</v>
      </c>
      <c r="B69" s="3"/>
      <c r="C69" s="3" t="s">
        <v>263</v>
      </c>
      <c r="E69" s="17">
        <v>0</v>
      </c>
      <c r="F69" s="17"/>
      <c r="G69" s="17">
        <v>0</v>
      </c>
      <c r="H69" s="17"/>
      <c r="I69" s="17">
        <v>0</v>
      </c>
      <c r="J69" s="17"/>
      <c r="K69" s="17">
        <v>0</v>
      </c>
      <c r="L69" s="17"/>
      <c r="M69" s="17">
        <v>0</v>
      </c>
      <c r="N69" s="17"/>
      <c r="O69" s="17">
        <v>0</v>
      </c>
      <c r="P69" s="17"/>
      <c r="Q69" s="17">
        <v>0</v>
      </c>
      <c r="R69" s="17"/>
      <c r="S69" s="17">
        <v>0</v>
      </c>
      <c r="T69" s="17"/>
      <c r="U69" s="64">
        <f>SUM(E69:T69)</f>
        <v>0</v>
      </c>
      <c r="V69" s="17"/>
      <c r="W69" s="17">
        <v>0</v>
      </c>
      <c r="X69" s="17"/>
      <c r="Y69" s="17"/>
      <c r="Z69" s="17"/>
      <c r="AA69" s="17">
        <v>0</v>
      </c>
      <c r="AB69" s="17"/>
      <c r="AC69" s="3" t="s">
        <v>333</v>
      </c>
      <c r="AD69" s="3"/>
      <c r="AE69" s="3" t="s">
        <v>263</v>
      </c>
      <c r="AF69" s="17"/>
      <c r="AG69" s="17"/>
      <c r="AH69" s="17"/>
      <c r="AI69" s="17">
        <v>0</v>
      </c>
      <c r="AJ69" s="3"/>
      <c r="AK69" s="17">
        <v>0</v>
      </c>
      <c r="AL69" s="3"/>
      <c r="AM69" s="3"/>
      <c r="AN69" s="3"/>
      <c r="AO69" s="17">
        <v>0</v>
      </c>
      <c r="AP69" s="3"/>
      <c r="AQ69" s="17">
        <v>0</v>
      </c>
      <c r="AR69" s="3"/>
      <c r="AS69" s="3">
        <f t="shared" ref="AS69:AS107" si="5">SUM(W69:AQ69)</f>
        <v>0</v>
      </c>
      <c r="AT69" s="3"/>
      <c r="AU69" s="3">
        <f t="shared" ref="AU69:AU100" si="6">+AS69+U69</f>
        <v>0</v>
      </c>
    </row>
    <row r="70" spans="1:47" hidden="1">
      <c r="A70" s="3" t="s">
        <v>334</v>
      </c>
      <c r="B70" s="3"/>
      <c r="C70" s="3" t="s">
        <v>146</v>
      </c>
      <c r="E70" s="3">
        <v>0</v>
      </c>
      <c r="F70" s="3"/>
      <c r="G70" s="3">
        <v>0</v>
      </c>
      <c r="H70" s="3"/>
      <c r="I70" s="3">
        <v>0</v>
      </c>
      <c r="J70" s="3"/>
      <c r="K70" s="3">
        <v>0</v>
      </c>
      <c r="L70" s="3"/>
      <c r="M70" s="3">
        <v>0</v>
      </c>
      <c r="N70" s="3"/>
      <c r="O70" s="3">
        <v>0</v>
      </c>
      <c r="P70" s="3"/>
      <c r="Q70" s="3">
        <v>0</v>
      </c>
      <c r="R70" s="3"/>
      <c r="S70" s="3">
        <v>0</v>
      </c>
      <c r="T70" s="3"/>
      <c r="U70" s="7">
        <f>SUM(E70:T70)</f>
        <v>0</v>
      </c>
      <c r="V70" s="3"/>
      <c r="W70" s="3">
        <v>0</v>
      </c>
      <c r="X70" s="3"/>
      <c r="Y70" s="3"/>
      <c r="Z70" s="3"/>
      <c r="AA70" s="3">
        <v>0</v>
      </c>
      <c r="AB70" s="3"/>
      <c r="AC70" s="3" t="s">
        <v>334</v>
      </c>
      <c r="AD70" s="3"/>
      <c r="AE70" s="3" t="s">
        <v>146</v>
      </c>
      <c r="AF70" s="3"/>
      <c r="AG70" s="3"/>
      <c r="AH70" s="3"/>
      <c r="AI70" s="3">
        <v>0</v>
      </c>
      <c r="AJ70" s="3"/>
      <c r="AK70" s="3">
        <v>0</v>
      </c>
      <c r="AL70" s="3"/>
      <c r="AM70" s="3"/>
      <c r="AN70" s="3"/>
      <c r="AO70" s="3">
        <v>0</v>
      </c>
      <c r="AP70" s="3"/>
      <c r="AQ70" s="3">
        <v>0</v>
      </c>
      <c r="AR70" s="3"/>
      <c r="AS70" s="3">
        <f t="shared" si="5"/>
        <v>0</v>
      </c>
      <c r="AT70" s="3"/>
      <c r="AU70" s="3">
        <f t="shared" si="6"/>
        <v>0</v>
      </c>
    </row>
    <row r="71" spans="1:47">
      <c r="A71" s="3" t="s">
        <v>150</v>
      </c>
      <c r="B71" s="13"/>
      <c r="C71" s="13" t="s">
        <v>147</v>
      </c>
      <c r="E71" s="17">
        <v>0</v>
      </c>
      <c r="F71" s="17"/>
      <c r="G71" s="17">
        <v>656895</v>
      </c>
      <c r="H71" s="17"/>
      <c r="I71" s="17">
        <v>7103</v>
      </c>
      <c r="J71" s="17"/>
      <c r="K71" s="17">
        <f>1975102+1142442+733914</f>
        <v>3851458</v>
      </c>
      <c r="L71" s="17"/>
      <c r="M71" s="17">
        <v>0</v>
      </c>
      <c r="N71" s="17"/>
      <c r="O71" s="17">
        <v>0</v>
      </c>
      <c r="P71" s="17"/>
      <c r="Q71" s="17">
        <v>275</v>
      </c>
      <c r="R71" s="17"/>
      <c r="S71" s="17">
        <v>130876</v>
      </c>
      <c r="T71" s="17"/>
      <c r="U71" s="64">
        <f>SUM(E71:T71)</f>
        <v>4646607</v>
      </c>
      <c r="V71" s="17"/>
      <c r="W71" s="17">
        <v>0</v>
      </c>
      <c r="X71" s="17"/>
      <c r="Y71" s="17">
        <v>0</v>
      </c>
      <c r="Z71" s="17"/>
      <c r="AA71" s="17">
        <v>0</v>
      </c>
      <c r="AB71" s="17"/>
      <c r="AC71" s="3" t="s">
        <v>150</v>
      </c>
      <c r="AD71" s="13"/>
      <c r="AE71" s="13" t="s">
        <v>147</v>
      </c>
      <c r="AF71" s="17"/>
      <c r="AG71" s="17">
        <v>0</v>
      </c>
      <c r="AH71" s="17"/>
      <c r="AI71" s="17">
        <v>0</v>
      </c>
      <c r="AJ71" s="17"/>
      <c r="AK71" s="17">
        <v>0</v>
      </c>
      <c r="AL71" s="17"/>
      <c r="AM71" s="17">
        <v>0</v>
      </c>
      <c r="AN71" s="17"/>
      <c r="AO71" s="17">
        <v>0</v>
      </c>
      <c r="AP71" s="17"/>
      <c r="AQ71" s="17">
        <v>0</v>
      </c>
      <c r="AR71" s="17"/>
      <c r="AS71" s="17">
        <f t="shared" si="5"/>
        <v>0</v>
      </c>
      <c r="AT71" s="17"/>
      <c r="AU71" s="17">
        <f t="shared" si="6"/>
        <v>4646607</v>
      </c>
    </row>
    <row r="72" spans="1:47" hidden="1">
      <c r="A72" s="3" t="s">
        <v>335</v>
      </c>
      <c r="B72" s="3"/>
      <c r="C72" s="3" t="s">
        <v>264</v>
      </c>
      <c r="E72" s="3">
        <v>0</v>
      </c>
      <c r="F72" s="3"/>
      <c r="G72" s="3">
        <v>0</v>
      </c>
      <c r="H72" s="3"/>
      <c r="I72" s="3">
        <v>0</v>
      </c>
      <c r="J72" s="3"/>
      <c r="K72" s="3">
        <v>0</v>
      </c>
      <c r="L72" s="3"/>
      <c r="M72" s="3">
        <v>0</v>
      </c>
      <c r="N72" s="3"/>
      <c r="O72" s="3">
        <v>0</v>
      </c>
      <c r="P72" s="3"/>
      <c r="Q72" s="3">
        <v>0</v>
      </c>
      <c r="R72" s="3"/>
      <c r="S72" s="3">
        <v>0</v>
      </c>
      <c r="T72" s="3"/>
      <c r="U72" s="7">
        <f>SUM(E72:T72)</f>
        <v>0</v>
      </c>
      <c r="V72" s="3"/>
      <c r="W72" s="3">
        <v>0</v>
      </c>
      <c r="X72" s="3"/>
      <c r="Y72" s="3"/>
      <c r="Z72" s="3"/>
      <c r="AA72" s="3">
        <v>0</v>
      </c>
      <c r="AB72" s="3"/>
      <c r="AC72" s="3" t="s">
        <v>335</v>
      </c>
      <c r="AD72" s="3"/>
      <c r="AE72" s="3" t="s">
        <v>264</v>
      </c>
      <c r="AF72" s="3"/>
      <c r="AG72" s="3"/>
      <c r="AH72" s="3"/>
      <c r="AI72" s="3">
        <v>0</v>
      </c>
      <c r="AJ72" s="3"/>
      <c r="AK72" s="3">
        <v>0</v>
      </c>
      <c r="AL72" s="3"/>
      <c r="AM72" s="3"/>
      <c r="AN72" s="3"/>
      <c r="AO72" s="3">
        <v>0</v>
      </c>
      <c r="AP72" s="3"/>
      <c r="AQ72" s="3">
        <v>0</v>
      </c>
      <c r="AR72" s="3"/>
      <c r="AS72" s="3">
        <f t="shared" si="5"/>
        <v>0</v>
      </c>
      <c r="AT72" s="3"/>
      <c r="AU72" s="3">
        <f t="shared" si="6"/>
        <v>0</v>
      </c>
    </row>
    <row r="73" spans="1:47">
      <c r="A73" s="13" t="s">
        <v>291</v>
      </c>
      <c r="B73" s="13"/>
      <c r="C73" s="13" t="s">
        <v>152</v>
      </c>
      <c r="E73" s="3">
        <v>0</v>
      </c>
      <c r="F73" s="3"/>
      <c r="G73" s="3">
        <v>719601</v>
      </c>
      <c r="H73" s="3"/>
      <c r="I73" s="3">
        <v>12007</v>
      </c>
      <c r="J73" s="3"/>
      <c r="K73" s="3">
        <v>120476</v>
      </c>
      <c r="L73" s="3"/>
      <c r="M73" s="3">
        <v>0</v>
      </c>
      <c r="N73" s="3"/>
      <c r="O73" s="3">
        <v>0</v>
      </c>
      <c r="P73" s="3"/>
      <c r="Q73" s="3">
        <v>0</v>
      </c>
      <c r="R73" s="3"/>
      <c r="S73" s="3">
        <v>3558939</v>
      </c>
      <c r="T73" s="3"/>
      <c r="U73" s="7">
        <f>SUM(E73:T73)</f>
        <v>4411023</v>
      </c>
      <c r="V73" s="3"/>
      <c r="W73" s="3">
        <v>0</v>
      </c>
      <c r="X73" s="3"/>
      <c r="Y73" s="3">
        <v>0</v>
      </c>
      <c r="Z73" s="3"/>
      <c r="AA73" s="3">
        <v>0</v>
      </c>
      <c r="AB73" s="3"/>
      <c r="AC73" s="13" t="s">
        <v>291</v>
      </c>
      <c r="AD73" s="13"/>
      <c r="AE73" s="13" t="s">
        <v>152</v>
      </c>
      <c r="AF73" s="3"/>
      <c r="AG73" s="3">
        <v>0</v>
      </c>
      <c r="AH73" s="3"/>
      <c r="AI73" s="3">
        <v>0</v>
      </c>
      <c r="AJ73" s="3"/>
      <c r="AK73" s="3">
        <v>0</v>
      </c>
      <c r="AL73" s="3"/>
      <c r="AM73" s="3">
        <v>0</v>
      </c>
      <c r="AN73" s="3"/>
      <c r="AO73" s="3">
        <v>0</v>
      </c>
      <c r="AP73" s="3"/>
      <c r="AQ73" s="3">
        <v>0</v>
      </c>
      <c r="AR73" s="3"/>
      <c r="AS73" s="3">
        <f t="shared" si="5"/>
        <v>0</v>
      </c>
      <c r="AT73" s="3"/>
      <c r="AU73" s="3">
        <f t="shared" si="6"/>
        <v>4411023</v>
      </c>
    </row>
    <row r="74" spans="1:47">
      <c r="A74" s="13" t="s">
        <v>292</v>
      </c>
      <c r="B74" s="13"/>
      <c r="C74" s="13" t="s">
        <v>149</v>
      </c>
      <c r="E74" s="3">
        <v>0</v>
      </c>
      <c r="F74" s="3"/>
      <c r="G74" s="3">
        <v>1835404</v>
      </c>
      <c r="H74" s="3"/>
      <c r="I74" s="3">
        <v>511</v>
      </c>
      <c r="J74" s="3"/>
      <c r="K74" s="3">
        <v>136077</v>
      </c>
      <c r="L74" s="3"/>
      <c r="M74" s="3">
        <v>0</v>
      </c>
      <c r="N74" s="3"/>
      <c r="O74" s="3">
        <v>0</v>
      </c>
      <c r="P74" s="3"/>
      <c r="Q74" s="3">
        <v>0</v>
      </c>
      <c r="R74" s="3"/>
      <c r="S74" s="3">
        <f>7108993+647833</f>
        <v>7756826</v>
      </c>
      <c r="T74" s="3"/>
      <c r="U74" s="7">
        <f t="shared" ref="U74:U130" si="7">SUM(E74:T74)</f>
        <v>9728818</v>
      </c>
      <c r="V74" s="3"/>
      <c r="W74" s="3">
        <v>0</v>
      </c>
      <c r="X74" s="3"/>
      <c r="Y74" s="3">
        <v>0</v>
      </c>
      <c r="Z74" s="3"/>
      <c r="AA74" s="3">
        <v>0</v>
      </c>
      <c r="AB74" s="3"/>
      <c r="AC74" s="13" t="s">
        <v>292</v>
      </c>
      <c r="AD74" s="13"/>
      <c r="AE74" s="13" t="s">
        <v>149</v>
      </c>
      <c r="AF74" s="3"/>
      <c r="AG74" s="3">
        <v>0</v>
      </c>
      <c r="AH74" s="3"/>
      <c r="AI74" s="3">
        <v>0</v>
      </c>
      <c r="AJ74" s="3"/>
      <c r="AK74" s="3">
        <v>0</v>
      </c>
      <c r="AL74" s="3"/>
      <c r="AM74" s="3">
        <v>0</v>
      </c>
      <c r="AN74" s="3"/>
      <c r="AO74" s="3">
        <v>0</v>
      </c>
      <c r="AP74" s="3"/>
      <c r="AQ74" s="3">
        <v>0</v>
      </c>
      <c r="AR74" s="3"/>
      <c r="AS74" s="3">
        <f t="shared" si="5"/>
        <v>0</v>
      </c>
      <c r="AT74" s="3"/>
      <c r="AU74" s="3">
        <f t="shared" si="6"/>
        <v>9728818</v>
      </c>
    </row>
    <row r="75" spans="1:47">
      <c r="A75" s="13" t="s">
        <v>293</v>
      </c>
      <c r="B75" s="13"/>
      <c r="C75" s="13" t="s">
        <v>154</v>
      </c>
      <c r="E75" s="3">
        <v>0</v>
      </c>
      <c r="F75" s="3"/>
      <c r="G75" s="3">
        <v>1592924</v>
      </c>
      <c r="H75" s="3"/>
      <c r="I75" s="3">
        <v>1415</v>
      </c>
      <c r="J75" s="3"/>
      <c r="K75" s="3">
        <f>1123097+3790280</f>
        <v>4913377</v>
      </c>
      <c r="L75" s="3"/>
      <c r="M75" s="3">
        <v>0</v>
      </c>
      <c r="N75" s="3"/>
      <c r="O75" s="3">
        <v>0</v>
      </c>
      <c r="P75" s="3"/>
      <c r="Q75" s="3">
        <v>0</v>
      </c>
      <c r="R75" s="3"/>
      <c r="S75" s="3">
        <v>75927</v>
      </c>
      <c r="T75" s="3"/>
      <c r="U75" s="7">
        <f t="shared" si="7"/>
        <v>6583643</v>
      </c>
      <c r="V75" s="3"/>
      <c r="W75" s="3">
        <v>0</v>
      </c>
      <c r="X75" s="3"/>
      <c r="Y75" s="3">
        <v>0</v>
      </c>
      <c r="Z75" s="3"/>
      <c r="AA75" s="3">
        <v>0</v>
      </c>
      <c r="AB75" s="3"/>
      <c r="AC75" s="13" t="s">
        <v>293</v>
      </c>
      <c r="AD75" s="13"/>
      <c r="AE75" s="13" t="s">
        <v>154</v>
      </c>
      <c r="AF75" s="3"/>
      <c r="AG75" s="3">
        <v>0</v>
      </c>
      <c r="AH75" s="3"/>
      <c r="AI75" s="3">
        <v>0</v>
      </c>
      <c r="AJ75" s="3"/>
      <c r="AK75" s="3">
        <v>0</v>
      </c>
      <c r="AL75" s="3"/>
      <c r="AM75" s="3">
        <v>0</v>
      </c>
      <c r="AN75" s="3"/>
      <c r="AO75" s="3">
        <v>0</v>
      </c>
      <c r="AP75" s="3"/>
      <c r="AQ75" s="3">
        <v>0</v>
      </c>
      <c r="AR75" s="3"/>
      <c r="AS75" s="3">
        <f t="shared" si="5"/>
        <v>0</v>
      </c>
      <c r="AT75" s="3"/>
      <c r="AU75" s="3">
        <f t="shared" si="6"/>
        <v>6583643</v>
      </c>
    </row>
    <row r="76" spans="1:47">
      <c r="A76" s="3" t="s">
        <v>155</v>
      </c>
      <c r="B76" s="13"/>
      <c r="C76" s="13" t="s">
        <v>156</v>
      </c>
      <c r="E76" s="3">
        <v>0</v>
      </c>
      <c r="F76" s="3"/>
      <c r="G76" s="3">
        <v>1659196</v>
      </c>
      <c r="H76" s="3"/>
      <c r="I76" s="3">
        <v>7383</v>
      </c>
      <c r="J76" s="3"/>
      <c r="K76" s="3">
        <f>13780900+609103+313358</f>
        <v>14703361</v>
      </c>
      <c r="L76" s="3"/>
      <c r="M76" s="3">
        <v>0</v>
      </c>
      <c r="N76" s="3"/>
      <c r="O76" s="3">
        <v>0</v>
      </c>
      <c r="P76" s="3"/>
      <c r="Q76" s="3">
        <v>17700</v>
      </c>
      <c r="R76" s="3"/>
      <c r="S76" s="3">
        <v>50390</v>
      </c>
      <c r="T76" s="3"/>
      <c r="U76" s="7">
        <f t="shared" si="7"/>
        <v>16438030</v>
      </c>
      <c r="V76" s="3"/>
      <c r="W76" s="3">
        <v>0</v>
      </c>
      <c r="X76" s="3"/>
      <c r="Y76" s="3">
        <v>0</v>
      </c>
      <c r="Z76" s="3"/>
      <c r="AA76" s="3">
        <v>0</v>
      </c>
      <c r="AB76" s="3"/>
      <c r="AC76" s="3" t="s">
        <v>155</v>
      </c>
      <c r="AD76" s="13"/>
      <c r="AE76" s="13" t="s">
        <v>156</v>
      </c>
      <c r="AF76" s="3"/>
      <c r="AG76" s="3">
        <v>0</v>
      </c>
      <c r="AH76" s="3"/>
      <c r="AI76" s="3">
        <v>0</v>
      </c>
      <c r="AJ76" s="3"/>
      <c r="AK76" s="3">
        <v>0</v>
      </c>
      <c r="AL76" s="3"/>
      <c r="AM76" s="3">
        <v>0</v>
      </c>
      <c r="AN76" s="3"/>
      <c r="AO76" s="3">
        <v>0</v>
      </c>
      <c r="AP76" s="3"/>
      <c r="AQ76" s="3">
        <v>0</v>
      </c>
      <c r="AR76" s="3"/>
      <c r="AS76" s="3">
        <f t="shared" si="5"/>
        <v>0</v>
      </c>
      <c r="AT76" s="3"/>
      <c r="AU76" s="3">
        <f t="shared" si="6"/>
        <v>16438030</v>
      </c>
    </row>
    <row r="77" spans="1:47" hidden="1">
      <c r="A77" s="13" t="s">
        <v>281</v>
      </c>
      <c r="B77" s="13"/>
      <c r="C77" s="13" t="s">
        <v>157</v>
      </c>
      <c r="E77" s="3">
        <v>0</v>
      </c>
      <c r="F77" s="3"/>
      <c r="G77" s="3">
        <v>0</v>
      </c>
      <c r="H77" s="3"/>
      <c r="I77" s="3">
        <v>0</v>
      </c>
      <c r="J77" s="3"/>
      <c r="K77" s="3">
        <v>0</v>
      </c>
      <c r="L77" s="3"/>
      <c r="M77" s="3">
        <v>0</v>
      </c>
      <c r="N77" s="3"/>
      <c r="O77" s="3">
        <v>0</v>
      </c>
      <c r="P77" s="3"/>
      <c r="Q77" s="3">
        <v>0</v>
      </c>
      <c r="R77" s="3"/>
      <c r="S77" s="3">
        <v>0</v>
      </c>
      <c r="T77" s="3"/>
      <c r="U77" s="7">
        <f t="shared" si="7"/>
        <v>0</v>
      </c>
      <c r="V77" s="3"/>
      <c r="W77" s="3">
        <v>0</v>
      </c>
      <c r="X77" s="3"/>
      <c r="Y77" s="3"/>
      <c r="Z77" s="3"/>
      <c r="AA77" s="3">
        <v>0</v>
      </c>
      <c r="AB77" s="3"/>
      <c r="AC77" s="13" t="s">
        <v>281</v>
      </c>
      <c r="AD77" s="13"/>
      <c r="AE77" s="13" t="s">
        <v>157</v>
      </c>
      <c r="AF77" s="3"/>
      <c r="AG77" s="3"/>
      <c r="AH77" s="3"/>
      <c r="AI77" s="3">
        <v>0</v>
      </c>
      <c r="AJ77" s="3"/>
      <c r="AK77" s="3">
        <v>0</v>
      </c>
      <c r="AL77" s="3"/>
      <c r="AM77" s="3"/>
      <c r="AN77" s="3"/>
      <c r="AO77" s="3">
        <v>0</v>
      </c>
      <c r="AP77" s="3"/>
      <c r="AQ77" s="3">
        <v>0</v>
      </c>
      <c r="AR77" s="3"/>
      <c r="AS77" s="3">
        <f t="shared" si="5"/>
        <v>0</v>
      </c>
      <c r="AT77" s="3"/>
      <c r="AU77" s="3">
        <f t="shared" si="6"/>
        <v>0</v>
      </c>
    </row>
    <row r="78" spans="1:47">
      <c r="A78" s="13" t="s">
        <v>310</v>
      </c>
      <c r="B78" s="13"/>
      <c r="C78" s="13" t="s">
        <v>158</v>
      </c>
      <c r="E78" s="3">
        <v>0</v>
      </c>
      <c r="F78" s="3"/>
      <c r="G78" s="3">
        <v>1220740</v>
      </c>
      <c r="H78" s="3"/>
      <c r="I78" s="3">
        <v>501</v>
      </c>
      <c r="J78" s="3"/>
      <c r="K78" s="3">
        <f>7162819+1317796</f>
        <v>8480615</v>
      </c>
      <c r="L78" s="3"/>
      <c r="M78" s="3">
        <v>1090</v>
      </c>
      <c r="N78" s="3"/>
      <c r="O78" s="3">
        <v>0</v>
      </c>
      <c r="P78" s="3"/>
      <c r="Q78" s="3">
        <v>1010</v>
      </c>
      <c r="R78" s="3"/>
      <c r="S78" s="3">
        <v>853</v>
      </c>
      <c r="T78" s="3"/>
      <c r="U78" s="7">
        <f t="shared" si="7"/>
        <v>9704809</v>
      </c>
      <c r="V78" s="3"/>
      <c r="W78" s="3">
        <v>0</v>
      </c>
      <c r="X78" s="3"/>
      <c r="Y78" s="3">
        <v>0</v>
      </c>
      <c r="Z78" s="3"/>
      <c r="AA78" s="3">
        <v>0</v>
      </c>
      <c r="AB78" s="3"/>
      <c r="AC78" s="13" t="s">
        <v>310</v>
      </c>
      <c r="AD78" s="13"/>
      <c r="AE78" s="13" t="s">
        <v>158</v>
      </c>
      <c r="AF78" s="3"/>
      <c r="AG78" s="3">
        <v>0</v>
      </c>
      <c r="AH78" s="3"/>
      <c r="AI78" s="3">
        <v>0</v>
      </c>
      <c r="AJ78" s="3"/>
      <c r="AK78" s="3">
        <v>0</v>
      </c>
      <c r="AL78" s="3"/>
      <c r="AM78" s="3">
        <v>0</v>
      </c>
      <c r="AN78" s="3"/>
      <c r="AO78" s="3">
        <v>0</v>
      </c>
      <c r="AP78" s="3"/>
      <c r="AQ78" s="3">
        <v>0</v>
      </c>
      <c r="AR78" s="3"/>
      <c r="AS78" s="3">
        <f t="shared" si="5"/>
        <v>0</v>
      </c>
      <c r="AT78" s="3"/>
      <c r="AU78" s="3">
        <f t="shared" si="6"/>
        <v>9704809</v>
      </c>
    </row>
    <row r="79" spans="1:47">
      <c r="A79" s="3" t="s">
        <v>312</v>
      </c>
      <c r="B79" s="13"/>
      <c r="C79" s="13" t="s">
        <v>159</v>
      </c>
      <c r="E79" s="3">
        <v>0</v>
      </c>
      <c r="F79" s="3"/>
      <c r="G79" s="3">
        <v>6231113</v>
      </c>
      <c r="H79" s="3"/>
      <c r="I79" s="3">
        <v>58123</v>
      </c>
      <c r="J79" s="3"/>
      <c r="K79" s="3">
        <f>36455863+531759+11187785</f>
        <v>48175407</v>
      </c>
      <c r="L79" s="3"/>
      <c r="M79" s="3">
        <v>25</v>
      </c>
      <c r="N79" s="3"/>
      <c r="O79" s="3">
        <v>0</v>
      </c>
      <c r="P79" s="3"/>
      <c r="Q79" s="3">
        <v>66481</v>
      </c>
      <c r="R79" s="3"/>
      <c r="S79" s="3">
        <v>693074</v>
      </c>
      <c r="T79" s="3"/>
      <c r="U79" s="7">
        <f t="shared" si="7"/>
        <v>55224223</v>
      </c>
      <c r="V79" s="3"/>
      <c r="W79" s="3">
        <v>0</v>
      </c>
      <c r="X79" s="3"/>
      <c r="Y79" s="3">
        <v>0</v>
      </c>
      <c r="Z79" s="3"/>
      <c r="AA79" s="3">
        <v>0</v>
      </c>
      <c r="AB79" s="3"/>
      <c r="AC79" s="3" t="s">
        <v>312</v>
      </c>
      <c r="AD79" s="13"/>
      <c r="AE79" s="13" t="s">
        <v>159</v>
      </c>
      <c r="AF79" s="3"/>
      <c r="AG79" s="3">
        <v>0</v>
      </c>
      <c r="AH79" s="3"/>
      <c r="AI79" s="3">
        <v>0</v>
      </c>
      <c r="AJ79" s="3"/>
      <c r="AK79" s="3">
        <v>0</v>
      </c>
      <c r="AL79" s="3"/>
      <c r="AM79" s="3">
        <v>0</v>
      </c>
      <c r="AN79" s="3"/>
      <c r="AO79" s="3">
        <v>0</v>
      </c>
      <c r="AP79" s="3"/>
      <c r="AQ79" s="3">
        <v>0</v>
      </c>
      <c r="AR79" s="3"/>
      <c r="AS79" s="3">
        <f t="shared" si="5"/>
        <v>0</v>
      </c>
      <c r="AT79" s="3"/>
      <c r="AU79" s="3">
        <f t="shared" si="6"/>
        <v>55224223</v>
      </c>
    </row>
    <row r="80" spans="1:47" hidden="1">
      <c r="A80" s="3" t="s">
        <v>315</v>
      </c>
      <c r="B80" s="13"/>
      <c r="C80" s="13" t="s">
        <v>160</v>
      </c>
      <c r="E80" s="3">
        <v>0</v>
      </c>
      <c r="F80" s="3"/>
      <c r="G80" s="3">
        <v>0</v>
      </c>
      <c r="H80" s="3"/>
      <c r="I80" s="3">
        <v>0</v>
      </c>
      <c r="J80" s="3"/>
      <c r="K80" s="3">
        <v>0</v>
      </c>
      <c r="L80" s="3"/>
      <c r="M80" s="3">
        <v>0</v>
      </c>
      <c r="N80" s="3"/>
      <c r="O80" s="3">
        <v>0</v>
      </c>
      <c r="P80" s="3"/>
      <c r="Q80" s="3">
        <v>0</v>
      </c>
      <c r="R80" s="3"/>
      <c r="S80" s="3">
        <v>0</v>
      </c>
      <c r="T80" s="3"/>
      <c r="U80" s="7">
        <f t="shared" si="7"/>
        <v>0</v>
      </c>
      <c r="V80" s="3"/>
      <c r="W80" s="3">
        <v>0</v>
      </c>
      <c r="X80" s="3"/>
      <c r="Y80" s="3"/>
      <c r="Z80" s="3"/>
      <c r="AA80" s="3">
        <v>0</v>
      </c>
      <c r="AB80" s="3"/>
      <c r="AC80" s="3" t="s">
        <v>315</v>
      </c>
      <c r="AD80" s="13"/>
      <c r="AE80" s="13" t="s">
        <v>160</v>
      </c>
      <c r="AF80" s="3"/>
      <c r="AG80" s="3"/>
      <c r="AH80" s="3"/>
      <c r="AI80" s="3">
        <v>0</v>
      </c>
      <c r="AJ80" s="3"/>
      <c r="AK80" s="3">
        <v>0</v>
      </c>
      <c r="AL80" s="3"/>
      <c r="AM80" s="3"/>
      <c r="AN80" s="3"/>
      <c r="AO80" s="3">
        <v>0</v>
      </c>
      <c r="AP80" s="3"/>
      <c r="AQ80" s="3">
        <v>0</v>
      </c>
      <c r="AR80" s="3"/>
      <c r="AS80" s="3">
        <f t="shared" si="5"/>
        <v>0</v>
      </c>
      <c r="AT80" s="3"/>
      <c r="AU80" s="3">
        <f t="shared" si="6"/>
        <v>0</v>
      </c>
    </row>
    <row r="81" spans="1:47" hidden="1">
      <c r="A81" s="3" t="s">
        <v>311</v>
      </c>
      <c r="B81" s="13"/>
      <c r="C81" s="13" t="s">
        <v>161</v>
      </c>
      <c r="E81" s="3">
        <v>0</v>
      </c>
      <c r="F81" s="3"/>
      <c r="G81" s="3">
        <v>0</v>
      </c>
      <c r="H81" s="3"/>
      <c r="I81" s="3">
        <v>0</v>
      </c>
      <c r="J81" s="3"/>
      <c r="K81" s="3">
        <v>0</v>
      </c>
      <c r="L81" s="3"/>
      <c r="M81" s="3">
        <v>0</v>
      </c>
      <c r="N81" s="3"/>
      <c r="O81" s="3">
        <v>0</v>
      </c>
      <c r="P81" s="3"/>
      <c r="Q81" s="3">
        <v>0</v>
      </c>
      <c r="R81" s="3"/>
      <c r="S81" s="3">
        <v>0</v>
      </c>
      <c r="T81" s="3"/>
      <c r="U81" s="7">
        <f t="shared" si="7"/>
        <v>0</v>
      </c>
      <c r="V81" s="3"/>
      <c r="W81" s="3">
        <v>0</v>
      </c>
      <c r="X81" s="3"/>
      <c r="Y81" s="3"/>
      <c r="Z81" s="3"/>
      <c r="AA81" s="3">
        <v>0</v>
      </c>
      <c r="AB81" s="3"/>
      <c r="AC81" s="3" t="s">
        <v>311</v>
      </c>
      <c r="AD81" s="13"/>
      <c r="AE81" s="13" t="s">
        <v>161</v>
      </c>
      <c r="AF81" s="3"/>
      <c r="AG81" s="3"/>
      <c r="AH81" s="3"/>
      <c r="AI81" s="3">
        <v>0</v>
      </c>
      <c r="AJ81" s="3"/>
      <c r="AK81" s="3">
        <v>0</v>
      </c>
      <c r="AL81" s="3"/>
      <c r="AM81" s="3"/>
      <c r="AN81" s="3"/>
      <c r="AO81" s="3">
        <v>0</v>
      </c>
      <c r="AP81" s="3"/>
      <c r="AQ81" s="3">
        <v>0</v>
      </c>
      <c r="AR81" s="3"/>
      <c r="AS81" s="3">
        <f t="shared" si="5"/>
        <v>0</v>
      </c>
      <c r="AT81" s="3"/>
      <c r="AU81" s="3">
        <f t="shared" si="6"/>
        <v>0</v>
      </c>
    </row>
    <row r="82" spans="1:47">
      <c r="A82" s="3" t="s">
        <v>309</v>
      </c>
      <c r="B82" s="13"/>
      <c r="C82" s="3" t="s">
        <v>200</v>
      </c>
      <c r="E82" s="3">
        <v>0</v>
      </c>
      <c r="F82" s="3"/>
      <c r="G82" s="3">
        <v>1596515</v>
      </c>
      <c r="H82" s="3"/>
      <c r="I82" s="3">
        <v>2635</v>
      </c>
      <c r="J82" s="3"/>
      <c r="K82" s="3">
        <f>1885727+5209786</f>
        <v>7095513</v>
      </c>
      <c r="L82" s="3"/>
      <c r="M82" s="3">
        <v>0</v>
      </c>
      <c r="N82" s="3"/>
      <c r="O82" s="3">
        <v>0</v>
      </c>
      <c r="P82" s="3"/>
      <c r="Q82" s="3">
        <v>0</v>
      </c>
      <c r="R82" s="3"/>
      <c r="S82" s="3">
        <v>0</v>
      </c>
      <c r="T82" s="3"/>
      <c r="U82" s="7">
        <f t="shared" si="7"/>
        <v>8694663</v>
      </c>
      <c r="V82" s="3"/>
      <c r="W82" s="3">
        <v>0</v>
      </c>
      <c r="X82" s="3"/>
      <c r="Y82" s="3">
        <v>0</v>
      </c>
      <c r="Z82" s="3"/>
      <c r="AA82" s="3">
        <v>0</v>
      </c>
      <c r="AB82" s="3"/>
      <c r="AC82" s="3" t="s">
        <v>309</v>
      </c>
      <c r="AD82" s="13"/>
      <c r="AE82" s="3" t="s">
        <v>200</v>
      </c>
      <c r="AF82" s="3"/>
      <c r="AG82" s="3">
        <v>0</v>
      </c>
      <c r="AH82" s="3"/>
      <c r="AI82" s="3">
        <v>0</v>
      </c>
      <c r="AJ82" s="3"/>
      <c r="AK82" s="3">
        <v>0</v>
      </c>
      <c r="AL82" s="3"/>
      <c r="AM82" s="3">
        <v>0</v>
      </c>
      <c r="AN82" s="3"/>
      <c r="AO82" s="3">
        <v>0</v>
      </c>
      <c r="AP82" s="3"/>
      <c r="AQ82" s="3">
        <v>0</v>
      </c>
      <c r="AR82" s="3"/>
      <c r="AS82" s="3">
        <f t="shared" si="5"/>
        <v>0</v>
      </c>
      <c r="AT82" s="3"/>
      <c r="AU82" s="3">
        <f t="shared" si="6"/>
        <v>8694663</v>
      </c>
    </row>
    <row r="83" spans="1:47">
      <c r="A83" s="3" t="s">
        <v>318</v>
      </c>
      <c r="B83" s="13"/>
      <c r="C83" s="13" t="s">
        <v>164</v>
      </c>
      <c r="E83" s="3">
        <v>0</v>
      </c>
      <c r="F83" s="3"/>
      <c r="G83" s="3">
        <f>1500+7878810+1267421</f>
        <v>9147731</v>
      </c>
      <c r="H83" s="3"/>
      <c r="I83" s="3">
        <v>22277</v>
      </c>
      <c r="J83" s="3"/>
      <c r="K83" s="3">
        <f>11987958+36851477+135857</f>
        <v>48975292</v>
      </c>
      <c r="L83" s="3"/>
      <c r="M83" s="3">
        <v>0</v>
      </c>
      <c r="N83" s="3"/>
      <c r="O83" s="3">
        <v>0</v>
      </c>
      <c r="P83" s="3"/>
      <c r="Q83" s="3">
        <v>0</v>
      </c>
      <c r="R83" s="3"/>
      <c r="S83" s="3">
        <v>31446</v>
      </c>
      <c r="T83" s="3"/>
      <c r="U83" s="7">
        <f>SUM(E83:T83)</f>
        <v>58176746</v>
      </c>
      <c r="V83" s="3"/>
      <c r="W83" s="3">
        <v>113901</v>
      </c>
      <c r="X83" s="3"/>
      <c r="Y83" s="3">
        <v>0</v>
      </c>
      <c r="Z83" s="3"/>
      <c r="AA83" s="3">
        <v>0</v>
      </c>
      <c r="AB83" s="3"/>
      <c r="AC83" s="3" t="s">
        <v>318</v>
      </c>
      <c r="AD83" s="13"/>
      <c r="AE83" s="13" t="s">
        <v>164</v>
      </c>
      <c r="AF83" s="3"/>
      <c r="AG83" s="3">
        <v>0</v>
      </c>
      <c r="AH83" s="3"/>
      <c r="AI83" s="3">
        <v>0</v>
      </c>
      <c r="AJ83" s="3"/>
      <c r="AK83" s="3">
        <v>0</v>
      </c>
      <c r="AL83" s="3"/>
      <c r="AM83" s="3">
        <v>0</v>
      </c>
      <c r="AN83" s="3"/>
      <c r="AO83" s="3">
        <v>0</v>
      </c>
      <c r="AP83" s="3"/>
      <c r="AQ83" s="3">
        <v>0</v>
      </c>
      <c r="AR83" s="3"/>
      <c r="AS83" s="3">
        <f t="shared" si="5"/>
        <v>113901</v>
      </c>
      <c r="AT83" s="3"/>
      <c r="AU83" s="3">
        <f t="shared" si="6"/>
        <v>58290647</v>
      </c>
    </row>
    <row r="84" spans="1:47" hidden="1">
      <c r="A84" s="13" t="s">
        <v>279</v>
      </c>
      <c r="B84" s="13"/>
      <c r="C84" s="13" t="s">
        <v>162</v>
      </c>
      <c r="E84" s="3">
        <v>0</v>
      </c>
      <c r="F84" s="3"/>
      <c r="G84" s="3">
        <v>0</v>
      </c>
      <c r="H84" s="3"/>
      <c r="I84" s="3">
        <v>0</v>
      </c>
      <c r="J84" s="3"/>
      <c r="K84" s="3">
        <v>0</v>
      </c>
      <c r="L84" s="3"/>
      <c r="M84" s="3">
        <v>0</v>
      </c>
      <c r="N84" s="3"/>
      <c r="O84" s="3">
        <v>0</v>
      </c>
      <c r="P84" s="3"/>
      <c r="Q84" s="3">
        <v>0</v>
      </c>
      <c r="R84" s="3"/>
      <c r="S84" s="3">
        <v>0</v>
      </c>
      <c r="T84" s="3"/>
      <c r="U84" s="7">
        <f t="shared" si="7"/>
        <v>0</v>
      </c>
      <c r="V84" s="3"/>
      <c r="W84" s="3">
        <v>0</v>
      </c>
      <c r="X84" s="3"/>
      <c r="Y84" s="3"/>
      <c r="Z84" s="3"/>
      <c r="AA84" s="3">
        <v>0</v>
      </c>
      <c r="AB84" s="3"/>
      <c r="AC84" s="13" t="s">
        <v>279</v>
      </c>
      <c r="AD84" s="13"/>
      <c r="AE84" s="13" t="s">
        <v>162</v>
      </c>
      <c r="AF84" s="3"/>
      <c r="AG84" s="3"/>
      <c r="AH84" s="3"/>
      <c r="AI84" s="3">
        <v>0</v>
      </c>
      <c r="AJ84" s="3"/>
      <c r="AK84" s="3">
        <v>0</v>
      </c>
      <c r="AL84" s="3"/>
      <c r="AM84" s="3"/>
      <c r="AN84" s="3"/>
      <c r="AO84" s="3">
        <v>0</v>
      </c>
      <c r="AP84" s="3"/>
      <c r="AQ84" s="3">
        <v>0</v>
      </c>
      <c r="AR84" s="3"/>
      <c r="AS84" s="3">
        <f t="shared" si="5"/>
        <v>0</v>
      </c>
      <c r="AT84" s="3"/>
      <c r="AU84" s="3">
        <f t="shared" si="6"/>
        <v>0</v>
      </c>
    </row>
    <row r="85" spans="1:47">
      <c r="A85" s="3" t="s">
        <v>320</v>
      </c>
      <c r="B85" s="13"/>
      <c r="C85" s="13" t="s">
        <v>163</v>
      </c>
      <c r="E85" s="3">
        <v>0</v>
      </c>
      <c r="F85" s="3"/>
      <c r="G85" s="3">
        <v>1167622</v>
      </c>
      <c r="H85" s="3"/>
      <c r="I85" s="3">
        <v>2156</v>
      </c>
      <c r="J85" s="3"/>
      <c r="K85" s="3">
        <f>6532788+884167</f>
        <v>7416955</v>
      </c>
      <c r="L85" s="3"/>
      <c r="M85" s="3">
        <v>0</v>
      </c>
      <c r="N85" s="3"/>
      <c r="O85" s="3">
        <v>0</v>
      </c>
      <c r="P85" s="3"/>
      <c r="Q85" s="3">
        <v>0</v>
      </c>
      <c r="R85" s="3"/>
      <c r="S85" s="3">
        <v>14147</v>
      </c>
      <c r="T85" s="3"/>
      <c r="U85" s="7">
        <f t="shared" si="7"/>
        <v>8600880</v>
      </c>
      <c r="V85" s="3"/>
      <c r="W85" s="3">
        <v>0</v>
      </c>
      <c r="X85" s="3"/>
      <c r="Y85" s="3">
        <v>0</v>
      </c>
      <c r="Z85" s="3"/>
      <c r="AA85" s="3">
        <v>0</v>
      </c>
      <c r="AB85" s="3"/>
      <c r="AC85" s="3" t="s">
        <v>320</v>
      </c>
      <c r="AD85" s="13"/>
      <c r="AE85" s="13" t="s">
        <v>163</v>
      </c>
      <c r="AF85" s="3"/>
      <c r="AG85" s="3">
        <v>0</v>
      </c>
      <c r="AH85" s="3"/>
      <c r="AI85" s="3">
        <v>0</v>
      </c>
      <c r="AJ85" s="3"/>
      <c r="AK85" s="3">
        <v>0</v>
      </c>
      <c r="AL85" s="3"/>
      <c r="AM85" s="3">
        <v>0</v>
      </c>
      <c r="AN85" s="3"/>
      <c r="AO85" s="3">
        <v>0</v>
      </c>
      <c r="AP85" s="3"/>
      <c r="AQ85" s="3">
        <v>0</v>
      </c>
      <c r="AR85" s="3"/>
      <c r="AS85" s="3">
        <f t="shared" si="5"/>
        <v>0</v>
      </c>
      <c r="AT85" s="3"/>
      <c r="AU85" s="3">
        <f t="shared" si="6"/>
        <v>8600880</v>
      </c>
    </row>
    <row r="86" spans="1:47">
      <c r="A86" s="3" t="s">
        <v>166</v>
      </c>
      <c r="B86" s="13"/>
      <c r="C86" s="13" t="s">
        <v>167</v>
      </c>
      <c r="E86" s="3">
        <v>0</v>
      </c>
      <c r="F86" s="3"/>
      <c r="G86" s="3">
        <v>786020</v>
      </c>
      <c r="H86" s="3"/>
      <c r="I86" s="3">
        <v>24662</v>
      </c>
      <c r="J86" s="3"/>
      <c r="K86" s="3">
        <f>111141+1264020</f>
        <v>1375161</v>
      </c>
      <c r="L86" s="3"/>
      <c r="M86" s="3">
        <v>0</v>
      </c>
      <c r="N86" s="3"/>
      <c r="O86" s="3">
        <v>0</v>
      </c>
      <c r="P86" s="3"/>
      <c r="Q86" s="3">
        <v>0</v>
      </c>
      <c r="R86" s="3"/>
      <c r="S86" s="3">
        <v>7279</v>
      </c>
      <c r="T86" s="3"/>
      <c r="U86" s="7">
        <f t="shared" si="7"/>
        <v>2193122</v>
      </c>
      <c r="V86" s="3"/>
      <c r="W86" s="3">
        <v>0</v>
      </c>
      <c r="X86" s="3"/>
      <c r="Y86" s="3">
        <v>0</v>
      </c>
      <c r="Z86" s="3"/>
      <c r="AA86" s="3">
        <v>0</v>
      </c>
      <c r="AB86" s="3"/>
      <c r="AC86" s="3" t="s">
        <v>166</v>
      </c>
      <c r="AD86" s="13"/>
      <c r="AE86" s="13" t="s">
        <v>167</v>
      </c>
      <c r="AF86" s="3"/>
      <c r="AG86" s="3">
        <v>0</v>
      </c>
      <c r="AH86" s="3"/>
      <c r="AI86" s="3">
        <v>0</v>
      </c>
      <c r="AJ86" s="3"/>
      <c r="AK86" s="3">
        <v>0</v>
      </c>
      <c r="AL86" s="3"/>
      <c r="AM86" s="3">
        <v>0</v>
      </c>
      <c r="AN86" s="3"/>
      <c r="AO86" s="3">
        <v>0</v>
      </c>
      <c r="AP86" s="3"/>
      <c r="AQ86" s="3">
        <v>0</v>
      </c>
      <c r="AR86" s="3"/>
      <c r="AS86" s="3">
        <f t="shared" si="5"/>
        <v>0</v>
      </c>
      <c r="AT86" s="3"/>
      <c r="AU86" s="3">
        <f t="shared" si="6"/>
        <v>2193122</v>
      </c>
    </row>
    <row r="87" spans="1:47">
      <c r="A87" s="61" t="s">
        <v>319</v>
      </c>
      <c r="B87" s="13"/>
      <c r="C87" s="13" t="s">
        <v>168</v>
      </c>
      <c r="E87" s="3">
        <v>0</v>
      </c>
      <c r="F87" s="3"/>
      <c r="G87" s="3">
        <v>970134</v>
      </c>
      <c r="H87" s="3"/>
      <c r="I87" s="3">
        <v>6447</v>
      </c>
      <c r="J87" s="3"/>
      <c r="K87" s="3">
        <f>7883217+2310956</f>
        <v>10194173</v>
      </c>
      <c r="L87" s="3"/>
      <c r="M87" s="3">
        <v>0</v>
      </c>
      <c r="N87" s="3"/>
      <c r="O87" s="3">
        <v>0</v>
      </c>
      <c r="P87" s="3"/>
      <c r="Q87" s="3">
        <v>0</v>
      </c>
      <c r="R87" s="3"/>
      <c r="S87" s="3">
        <v>44178</v>
      </c>
      <c r="T87" s="3"/>
      <c r="U87" s="7">
        <f t="shared" si="7"/>
        <v>11214932</v>
      </c>
      <c r="V87" s="3"/>
      <c r="W87" s="3">
        <v>0</v>
      </c>
      <c r="X87" s="3"/>
      <c r="Y87" s="3">
        <v>0</v>
      </c>
      <c r="Z87" s="3"/>
      <c r="AA87" s="3">
        <v>0</v>
      </c>
      <c r="AB87" s="3"/>
      <c r="AC87" s="61" t="s">
        <v>319</v>
      </c>
      <c r="AD87" s="13"/>
      <c r="AE87" s="13" t="s">
        <v>168</v>
      </c>
      <c r="AF87" s="3"/>
      <c r="AG87" s="3">
        <v>0</v>
      </c>
      <c r="AH87" s="3"/>
      <c r="AI87" s="3">
        <v>0</v>
      </c>
      <c r="AJ87" s="3"/>
      <c r="AK87" s="3">
        <v>0</v>
      </c>
      <c r="AL87" s="3"/>
      <c r="AM87" s="3">
        <v>0</v>
      </c>
      <c r="AN87" s="3"/>
      <c r="AO87" s="3">
        <v>0</v>
      </c>
      <c r="AP87" s="3"/>
      <c r="AQ87" s="3">
        <v>0</v>
      </c>
      <c r="AR87" s="3"/>
      <c r="AS87" s="3">
        <f t="shared" si="5"/>
        <v>0</v>
      </c>
      <c r="AT87" s="3"/>
      <c r="AU87" s="3">
        <f t="shared" si="6"/>
        <v>11214932</v>
      </c>
    </row>
    <row r="88" spans="1:47">
      <c r="A88" s="13" t="s">
        <v>296</v>
      </c>
      <c r="B88" s="13"/>
      <c r="C88" s="13" t="s">
        <v>169</v>
      </c>
      <c r="E88" s="3">
        <v>0</v>
      </c>
      <c r="F88" s="3"/>
      <c r="G88" s="3">
        <v>1928273</v>
      </c>
      <c r="H88" s="3"/>
      <c r="I88" s="3">
        <v>0</v>
      </c>
      <c r="J88" s="3"/>
      <c r="K88" s="3">
        <v>9294548</v>
      </c>
      <c r="L88" s="3"/>
      <c r="M88" s="3">
        <v>0</v>
      </c>
      <c r="N88" s="3"/>
      <c r="O88" s="3">
        <v>0</v>
      </c>
      <c r="P88" s="3"/>
      <c r="Q88" s="3">
        <v>0</v>
      </c>
      <c r="R88" s="3"/>
      <c r="S88" s="3">
        <v>169686</v>
      </c>
      <c r="T88" s="3"/>
      <c r="U88" s="7">
        <f t="shared" si="7"/>
        <v>11392507</v>
      </c>
      <c r="V88" s="3"/>
      <c r="W88" s="3">
        <v>0</v>
      </c>
      <c r="X88" s="3"/>
      <c r="Y88" s="3">
        <v>0</v>
      </c>
      <c r="Z88" s="3"/>
      <c r="AA88" s="3">
        <v>0</v>
      </c>
      <c r="AB88" s="3"/>
      <c r="AC88" s="13" t="s">
        <v>296</v>
      </c>
      <c r="AD88" s="13"/>
      <c r="AE88" s="13" t="s">
        <v>169</v>
      </c>
      <c r="AF88" s="3"/>
      <c r="AG88" s="3">
        <v>0</v>
      </c>
      <c r="AH88" s="3"/>
      <c r="AI88" s="3">
        <v>0</v>
      </c>
      <c r="AJ88" s="3"/>
      <c r="AK88" s="3">
        <v>0</v>
      </c>
      <c r="AL88" s="3"/>
      <c r="AM88" s="3">
        <v>0</v>
      </c>
      <c r="AN88" s="3"/>
      <c r="AO88" s="3">
        <v>0</v>
      </c>
      <c r="AP88" s="3"/>
      <c r="AQ88" s="3">
        <v>0</v>
      </c>
      <c r="AR88" s="3"/>
      <c r="AS88" s="3">
        <f t="shared" si="5"/>
        <v>0</v>
      </c>
      <c r="AT88" s="3"/>
      <c r="AU88" s="3">
        <f t="shared" si="6"/>
        <v>11392507</v>
      </c>
    </row>
    <row r="89" spans="1:47">
      <c r="A89" s="13" t="s">
        <v>297</v>
      </c>
      <c r="B89" s="13"/>
      <c r="C89" s="13" t="s">
        <v>170</v>
      </c>
      <c r="E89" s="3">
        <v>0</v>
      </c>
      <c r="F89" s="3"/>
      <c r="G89" s="3">
        <v>3526054</v>
      </c>
      <c r="H89" s="3"/>
      <c r="I89" s="3">
        <v>42561</v>
      </c>
      <c r="J89" s="3"/>
      <c r="K89" s="3">
        <f>1807883+26074411</f>
        <v>27882294</v>
      </c>
      <c r="L89" s="3"/>
      <c r="M89" s="3">
        <v>0</v>
      </c>
      <c r="N89" s="3"/>
      <c r="O89" s="3">
        <v>0</v>
      </c>
      <c r="P89" s="3"/>
      <c r="Q89" s="3">
        <v>0</v>
      </c>
      <c r="R89" s="3"/>
      <c r="S89" s="3">
        <v>92310</v>
      </c>
      <c r="T89" s="3"/>
      <c r="U89" s="7">
        <f t="shared" si="7"/>
        <v>31543219</v>
      </c>
      <c r="V89" s="3"/>
      <c r="W89" s="3">
        <v>0</v>
      </c>
      <c r="X89" s="3"/>
      <c r="Y89" s="3">
        <v>0</v>
      </c>
      <c r="Z89" s="3"/>
      <c r="AA89" s="3">
        <v>0</v>
      </c>
      <c r="AB89" s="3"/>
      <c r="AC89" s="13" t="s">
        <v>297</v>
      </c>
      <c r="AD89" s="13"/>
      <c r="AE89" s="13" t="s">
        <v>170</v>
      </c>
      <c r="AF89" s="3"/>
      <c r="AG89" s="3">
        <v>0</v>
      </c>
      <c r="AH89" s="3"/>
      <c r="AI89" s="3">
        <v>0</v>
      </c>
      <c r="AJ89" s="3"/>
      <c r="AK89" s="3">
        <v>0</v>
      </c>
      <c r="AL89" s="3"/>
      <c r="AM89" s="3">
        <v>0</v>
      </c>
      <c r="AN89" s="3"/>
      <c r="AO89" s="3">
        <v>0</v>
      </c>
      <c r="AP89" s="3"/>
      <c r="AQ89" s="3">
        <v>0</v>
      </c>
      <c r="AR89" s="3"/>
      <c r="AS89" s="3">
        <f t="shared" si="5"/>
        <v>0</v>
      </c>
      <c r="AT89" s="3"/>
      <c r="AU89" s="3">
        <f t="shared" si="6"/>
        <v>31543219</v>
      </c>
    </row>
    <row r="90" spans="1:47">
      <c r="A90" s="13" t="s">
        <v>298</v>
      </c>
      <c r="B90" s="13"/>
      <c r="C90" s="13" t="s">
        <v>171</v>
      </c>
      <c r="E90" s="3">
        <v>0</v>
      </c>
      <c r="F90" s="3"/>
      <c r="G90" s="3">
        <v>808786</v>
      </c>
      <c r="H90" s="3"/>
      <c r="I90" s="3">
        <v>4159</v>
      </c>
      <c r="J90" s="3"/>
      <c r="K90" s="3">
        <f>2239598+2519637</f>
        <v>4759235</v>
      </c>
      <c r="L90" s="3"/>
      <c r="M90" s="3">
        <v>0</v>
      </c>
      <c r="N90" s="3"/>
      <c r="O90" s="3">
        <v>0</v>
      </c>
      <c r="P90" s="3"/>
      <c r="Q90" s="3">
        <v>0</v>
      </c>
      <c r="R90" s="3"/>
      <c r="S90" s="3">
        <v>60111</v>
      </c>
      <c r="T90" s="3"/>
      <c r="U90" s="7">
        <f t="shared" si="7"/>
        <v>5632291</v>
      </c>
      <c r="V90" s="3"/>
      <c r="W90" s="3">
        <v>0</v>
      </c>
      <c r="X90" s="3"/>
      <c r="Y90" s="3">
        <v>0</v>
      </c>
      <c r="Z90" s="3"/>
      <c r="AA90" s="3">
        <v>0</v>
      </c>
      <c r="AB90" s="3"/>
      <c r="AC90" s="13" t="s">
        <v>298</v>
      </c>
      <c r="AD90" s="13"/>
      <c r="AE90" s="13" t="s">
        <v>171</v>
      </c>
      <c r="AF90" s="3"/>
      <c r="AG90" s="3">
        <v>0</v>
      </c>
      <c r="AH90" s="3"/>
      <c r="AI90" s="3">
        <v>0</v>
      </c>
      <c r="AJ90" s="3"/>
      <c r="AK90" s="3">
        <v>0</v>
      </c>
      <c r="AL90" s="3"/>
      <c r="AM90" s="3">
        <v>0</v>
      </c>
      <c r="AN90" s="3"/>
      <c r="AO90" s="3">
        <v>0</v>
      </c>
      <c r="AP90" s="3"/>
      <c r="AQ90" s="3">
        <v>0</v>
      </c>
      <c r="AR90" s="3"/>
      <c r="AS90" s="3">
        <f t="shared" si="5"/>
        <v>0</v>
      </c>
      <c r="AT90" s="3"/>
      <c r="AU90" s="3">
        <f t="shared" si="6"/>
        <v>5632291</v>
      </c>
    </row>
    <row r="91" spans="1:47" hidden="1">
      <c r="A91" s="13" t="s">
        <v>357</v>
      </c>
      <c r="B91" s="13"/>
      <c r="C91" s="13" t="s">
        <v>21</v>
      </c>
      <c r="E91" s="3">
        <v>0</v>
      </c>
      <c r="F91" s="3"/>
      <c r="G91" s="3">
        <v>0</v>
      </c>
      <c r="H91" s="3"/>
      <c r="I91" s="3">
        <v>0</v>
      </c>
      <c r="J91" s="3"/>
      <c r="K91" s="3">
        <v>0</v>
      </c>
      <c r="L91" s="3"/>
      <c r="M91" s="3">
        <v>0</v>
      </c>
      <c r="N91" s="3"/>
      <c r="O91" s="3">
        <v>0</v>
      </c>
      <c r="P91" s="3"/>
      <c r="Q91" s="3">
        <v>0</v>
      </c>
      <c r="R91" s="3"/>
      <c r="S91" s="3">
        <v>0</v>
      </c>
      <c r="T91" s="3"/>
      <c r="U91" s="7">
        <f t="shared" si="7"/>
        <v>0</v>
      </c>
      <c r="V91" s="3"/>
      <c r="W91" s="3">
        <v>0</v>
      </c>
      <c r="X91" s="3"/>
      <c r="Y91" s="3">
        <v>0</v>
      </c>
      <c r="Z91" s="3"/>
      <c r="AA91" s="3">
        <v>0</v>
      </c>
      <c r="AB91" s="3"/>
      <c r="AC91" s="13" t="s">
        <v>357</v>
      </c>
      <c r="AD91" s="13"/>
      <c r="AE91" s="13" t="s">
        <v>21</v>
      </c>
      <c r="AF91" s="3"/>
      <c r="AG91" s="3">
        <v>0</v>
      </c>
      <c r="AH91" s="3"/>
      <c r="AI91" s="3">
        <v>0</v>
      </c>
      <c r="AJ91" s="3"/>
      <c r="AK91" s="3">
        <v>0</v>
      </c>
      <c r="AL91" s="3"/>
      <c r="AM91" s="3">
        <v>0</v>
      </c>
      <c r="AN91" s="3"/>
      <c r="AO91" s="3">
        <v>0</v>
      </c>
      <c r="AP91" s="3"/>
      <c r="AQ91" s="3">
        <v>0</v>
      </c>
      <c r="AR91" s="3"/>
      <c r="AS91" s="3">
        <f t="shared" si="5"/>
        <v>0</v>
      </c>
      <c r="AT91" s="3"/>
      <c r="AU91" s="3">
        <f t="shared" si="6"/>
        <v>0</v>
      </c>
    </row>
    <row r="92" spans="1:47">
      <c r="A92" s="13" t="s">
        <v>299</v>
      </c>
      <c r="B92" s="13"/>
      <c r="C92" s="13" t="s">
        <v>172</v>
      </c>
      <c r="E92" s="3">
        <v>0</v>
      </c>
      <c r="F92" s="3"/>
      <c r="G92" s="3">
        <f>66526+744363</f>
        <v>810889</v>
      </c>
      <c r="H92" s="3"/>
      <c r="I92" s="3">
        <v>1409</v>
      </c>
      <c r="J92" s="3"/>
      <c r="K92" s="3">
        <f>3613306+751450</f>
        <v>4364756</v>
      </c>
      <c r="L92" s="3"/>
      <c r="M92" s="3">
        <v>0</v>
      </c>
      <c r="N92" s="3"/>
      <c r="O92" s="3">
        <v>0</v>
      </c>
      <c r="P92" s="3"/>
      <c r="Q92" s="3">
        <v>0</v>
      </c>
      <c r="R92" s="3"/>
      <c r="S92" s="3">
        <v>151798</v>
      </c>
      <c r="T92" s="3"/>
      <c r="U92" s="7">
        <f t="shared" si="7"/>
        <v>5328852</v>
      </c>
      <c r="V92" s="3"/>
      <c r="W92" s="3">
        <v>0</v>
      </c>
      <c r="X92" s="3"/>
      <c r="Y92" s="3"/>
      <c r="Z92" s="3"/>
      <c r="AA92" s="3">
        <v>0</v>
      </c>
      <c r="AB92" s="3"/>
      <c r="AC92" s="13" t="s">
        <v>299</v>
      </c>
      <c r="AD92" s="13"/>
      <c r="AE92" s="13" t="s">
        <v>172</v>
      </c>
      <c r="AF92" s="3"/>
      <c r="AG92" s="3">
        <v>0</v>
      </c>
      <c r="AH92" s="3"/>
      <c r="AI92" s="3">
        <v>0</v>
      </c>
      <c r="AJ92" s="3"/>
      <c r="AK92" s="3">
        <v>0</v>
      </c>
      <c r="AL92" s="3"/>
      <c r="AM92" s="3">
        <v>0</v>
      </c>
      <c r="AN92" s="3"/>
      <c r="AO92" s="3">
        <v>0</v>
      </c>
      <c r="AP92" s="3"/>
      <c r="AQ92" s="3">
        <v>0</v>
      </c>
      <c r="AR92" s="3"/>
      <c r="AS92" s="3">
        <f t="shared" si="5"/>
        <v>0</v>
      </c>
      <c r="AT92" s="3"/>
      <c r="AU92" s="3">
        <f t="shared" si="6"/>
        <v>5328852</v>
      </c>
    </row>
    <row r="93" spans="1:47">
      <c r="A93" s="13" t="s">
        <v>300</v>
      </c>
      <c r="B93" s="13"/>
      <c r="C93" s="13" t="s">
        <v>173</v>
      </c>
      <c r="E93" s="3">
        <v>0</v>
      </c>
      <c r="F93" s="3"/>
      <c r="G93" s="3">
        <v>780540</v>
      </c>
      <c r="H93" s="3"/>
      <c r="I93" s="3">
        <v>158</v>
      </c>
      <c r="J93" s="3"/>
      <c r="K93" s="3">
        <f>171227+4410596</f>
        <v>4581823</v>
      </c>
      <c r="L93" s="3"/>
      <c r="M93" s="3">
        <v>0</v>
      </c>
      <c r="N93" s="3"/>
      <c r="O93" s="3">
        <v>0</v>
      </c>
      <c r="P93" s="3"/>
      <c r="Q93" s="3">
        <v>0</v>
      </c>
      <c r="R93" s="3"/>
      <c r="S93" s="3">
        <v>3481</v>
      </c>
      <c r="T93" s="3"/>
      <c r="U93" s="7">
        <f t="shared" si="7"/>
        <v>5366002</v>
      </c>
      <c r="V93" s="3"/>
      <c r="W93" s="3">
        <v>0</v>
      </c>
      <c r="X93" s="3"/>
      <c r="Y93" s="3"/>
      <c r="Z93" s="3"/>
      <c r="AA93" s="3">
        <v>0</v>
      </c>
      <c r="AB93" s="3"/>
      <c r="AC93" s="13" t="s">
        <v>300</v>
      </c>
      <c r="AD93" s="13"/>
      <c r="AE93" s="13" t="s">
        <v>173</v>
      </c>
      <c r="AF93" s="3"/>
      <c r="AG93" s="3">
        <v>0</v>
      </c>
      <c r="AH93" s="3"/>
      <c r="AI93" s="3">
        <v>0</v>
      </c>
      <c r="AJ93" s="3"/>
      <c r="AK93" s="3">
        <v>0</v>
      </c>
      <c r="AL93" s="3"/>
      <c r="AM93" s="3">
        <v>0</v>
      </c>
      <c r="AN93" s="3"/>
      <c r="AO93" s="3">
        <v>0</v>
      </c>
      <c r="AP93" s="3"/>
      <c r="AQ93" s="3">
        <v>0</v>
      </c>
      <c r="AR93" s="3"/>
      <c r="AS93" s="3">
        <f t="shared" si="5"/>
        <v>0</v>
      </c>
      <c r="AT93" s="3"/>
      <c r="AU93" s="3">
        <f t="shared" si="6"/>
        <v>5366002</v>
      </c>
    </row>
    <row r="94" spans="1:47">
      <c r="A94" s="13" t="s">
        <v>301</v>
      </c>
      <c r="B94" s="13"/>
      <c r="C94" s="13" t="s">
        <v>148</v>
      </c>
      <c r="E94" s="3">
        <v>0</v>
      </c>
      <c r="F94" s="3"/>
      <c r="G94" s="3">
        <v>2014947</v>
      </c>
      <c r="H94" s="3"/>
      <c r="I94" s="3">
        <v>29</v>
      </c>
      <c r="J94" s="3"/>
      <c r="K94" s="3">
        <f>3563842+5292241+8250</f>
        <v>8864333</v>
      </c>
      <c r="L94" s="3"/>
      <c r="M94" s="3">
        <v>33374</v>
      </c>
      <c r="N94" s="3"/>
      <c r="O94" s="3">
        <v>0</v>
      </c>
      <c r="P94" s="3"/>
      <c r="Q94" s="3">
        <v>0</v>
      </c>
      <c r="R94" s="3"/>
      <c r="S94" s="3">
        <v>272915</v>
      </c>
      <c r="T94" s="3"/>
      <c r="U94" s="7">
        <f t="shared" si="7"/>
        <v>11185598</v>
      </c>
      <c r="V94" s="3"/>
      <c r="W94" s="3">
        <v>0</v>
      </c>
      <c r="X94" s="3"/>
      <c r="Y94" s="3"/>
      <c r="Z94" s="3"/>
      <c r="AA94" s="3">
        <v>0</v>
      </c>
      <c r="AB94" s="3"/>
      <c r="AC94" s="13" t="s">
        <v>301</v>
      </c>
      <c r="AD94" s="13"/>
      <c r="AE94" s="13" t="s">
        <v>148</v>
      </c>
      <c r="AF94" s="3"/>
      <c r="AG94" s="3">
        <v>0</v>
      </c>
      <c r="AH94" s="3"/>
      <c r="AI94" s="3">
        <v>0</v>
      </c>
      <c r="AJ94" s="3"/>
      <c r="AK94" s="3">
        <v>0</v>
      </c>
      <c r="AL94" s="3"/>
      <c r="AM94" s="3">
        <v>0</v>
      </c>
      <c r="AN94" s="3"/>
      <c r="AO94" s="3">
        <v>0</v>
      </c>
      <c r="AP94" s="3"/>
      <c r="AQ94" s="3">
        <v>0</v>
      </c>
      <c r="AR94" s="3"/>
      <c r="AS94" s="3">
        <f t="shared" si="5"/>
        <v>0</v>
      </c>
      <c r="AT94" s="3"/>
      <c r="AU94" s="3">
        <f t="shared" si="6"/>
        <v>11185598</v>
      </c>
    </row>
    <row r="95" spans="1:47">
      <c r="A95" s="13" t="s">
        <v>302</v>
      </c>
      <c r="B95" s="13"/>
      <c r="C95" s="13" t="s">
        <v>174</v>
      </c>
      <c r="E95" s="3">
        <v>0</v>
      </c>
      <c r="F95" s="3"/>
      <c r="G95" s="3">
        <v>423118</v>
      </c>
      <c r="H95" s="3"/>
      <c r="I95" s="3">
        <v>1063</v>
      </c>
      <c r="J95" s="3"/>
      <c r="K95" s="3">
        <f>437941+1205371+1890</f>
        <v>1645202</v>
      </c>
      <c r="L95" s="3"/>
      <c r="M95" s="3">
        <v>0</v>
      </c>
      <c r="N95" s="3"/>
      <c r="O95" s="3">
        <v>0</v>
      </c>
      <c r="P95" s="3"/>
      <c r="Q95" s="3">
        <v>0</v>
      </c>
      <c r="R95" s="3"/>
      <c r="S95" s="3">
        <v>59166</v>
      </c>
      <c r="T95" s="3"/>
      <c r="U95" s="7">
        <f t="shared" si="7"/>
        <v>2128549</v>
      </c>
      <c r="V95" s="3"/>
      <c r="W95" s="3">
        <v>0</v>
      </c>
      <c r="X95" s="3"/>
      <c r="Y95" s="3"/>
      <c r="Z95" s="3"/>
      <c r="AA95" s="3">
        <v>0</v>
      </c>
      <c r="AB95" s="3"/>
      <c r="AC95" s="13" t="s">
        <v>302</v>
      </c>
      <c r="AD95" s="13"/>
      <c r="AE95" s="13" t="s">
        <v>174</v>
      </c>
      <c r="AF95" s="3"/>
      <c r="AG95" s="3">
        <v>0</v>
      </c>
      <c r="AH95" s="3"/>
      <c r="AI95" s="3">
        <v>0</v>
      </c>
      <c r="AJ95" s="3"/>
      <c r="AK95" s="3">
        <v>0</v>
      </c>
      <c r="AL95" s="3"/>
      <c r="AM95" s="3">
        <v>0</v>
      </c>
      <c r="AN95" s="3"/>
      <c r="AO95" s="3">
        <v>0</v>
      </c>
      <c r="AP95" s="3"/>
      <c r="AQ95" s="3">
        <v>0</v>
      </c>
      <c r="AR95" s="3"/>
      <c r="AS95" s="3">
        <f t="shared" si="5"/>
        <v>0</v>
      </c>
      <c r="AT95" s="3"/>
      <c r="AU95" s="3">
        <f t="shared" si="6"/>
        <v>2128549</v>
      </c>
    </row>
    <row r="96" spans="1:47">
      <c r="A96" s="3" t="s">
        <v>303</v>
      </c>
      <c r="B96" s="3"/>
      <c r="C96" s="3" t="s">
        <v>175</v>
      </c>
      <c r="E96" s="3">
        <v>0</v>
      </c>
      <c r="F96" s="3"/>
      <c r="G96" s="3">
        <v>1288320</v>
      </c>
      <c r="H96" s="3"/>
      <c r="I96" s="3">
        <v>1411</v>
      </c>
      <c r="J96" s="3"/>
      <c r="K96" s="3">
        <f>7336770+329722</f>
        <v>7666492</v>
      </c>
      <c r="L96" s="3"/>
      <c r="M96" s="3">
        <v>0</v>
      </c>
      <c r="N96" s="3"/>
      <c r="O96" s="3">
        <v>0</v>
      </c>
      <c r="P96" s="3"/>
      <c r="Q96" s="3">
        <v>48358</v>
      </c>
      <c r="R96" s="3"/>
      <c r="S96" s="3">
        <v>23925</v>
      </c>
      <c r="T96" s="3"/>
      <c r="U96" s="7">
        <f>SUM(E96:T96)</f>
        <v>9028506</v>
      </c>
      <c r="V96" s="3"/>
      <c r="W96" s="3">
        <v>0</v>
      </c>
      <c r="X96" s="3"/>
      <c r="Y96" s="3"/>
      <c r="Z96" s="3"/>
      <c r="AA96" s="3">
        <v>0</v>
      </c>
      <c r="AB96" s="3"/>
      <c r="AC96" s="3" t="s">
        <v>303</v>
      </c>
      <c r="AD96" s="3"/>
      <c r="AE96" s="3" t="s">
        <v>175</v>
      </c>
      <c r="AF96" s="3"/>
      <c r="AG96" s="3">
        <v>0</v>
      </c>
      <c r="AH96" s="3"/>
      <c r="AI96" s="3">
        <v>8782</v>
      </c>
      <c r="AJ96" s="3"/>
      <c r="AK96" s="3">
        <v>0</v>
      </c>
      <c r="AL96" s="3"/>
      <c r="AM96" s="3">
        <v>0</v>
      </c>
      <c r="AN96" s="3"/>
      <c r="AO96" s="3">
        <v>0</v>
      </c>
      <c r="AP96" s="3"/>
      <c r="AQ96" s="3">
        <v>0</v>
      </c>
      <c r="AR96" s="3"/>
      <c r="AS96" s="3">
        <f t="shared" si="5"/>
        <v>8782</v>
      </c>
      <c r="AT96" s="3"/>
      <c r="AU96" s="3">
        <f t="shared" si="6"/>
        <v>9037288</v>
      </c>
    </row>
    <row r="97" spans="1:47">
      <c r="A97" s="13" t="s">
        <v>304</v>
      </c>
      <c r="B97" s="13"/>
      <c r="C97" s="13" t="s">
        <v>176</v>
      </c>
      <c r="E97" s="3">
        <v>0</v>
      </c>
      <c r="F97" s="3"/>
      <c r="G97" s="3">
        <v>269877</v>
      </c>
      <c r="H97" s="3"/>
      <c r="I97" s="3">
        <v>242</v>
      </c>
      <c r="J97" s="3"/>
      <c r="K97" s="3">
        <f>1519145+641350</f>
        <v>2160495</v>
      </c>
      <c r="L97" s="3"/>
      <c r="M97" s="3">
        <v>0</v>
      </c>
      <c r="N97" s="3"/>
      <c r="O97" s="3">
        <v>0</v>
      </c>
      <c r="P97" s="3"/>
      <c r="Q97" s="3">
        <v>0</v>
      </c>
      <c r="R97" s="3"/>
      <c r="S97" s="3">
        <v>50718</v>
      </c>
      <c r="T97" s="3"/>
      <c r="U97" s="7">
        <f t="shared" si="7"/>
        <v>2481332</v>
      </c>
      <c r="V97" s="3"/>
      <c r="W97" s="3">
        <v>0</v>
      </c>
      <c r="X97" s="3"/>
      <c r="Y97" s="3"/>
      <c r="Z97" s="3"/>
      <c r="AA97" s="3">
        <v>0</v>
      </c>
      <c r="AB97" s="3"/>
      <c r="AC97" s="13" t="s">
        <v>304</v>
      </c>
      <c r="AD97" s="13"/>
      <c r="AE97" s="13" t="s">
        <v>176</v>
      </c>
      <c r="AF97" s="3"/>
      <c r="AG97" s="3">
        <v>0</v>
      </c>
      <c r="AH97" s="3"/>
      <c r="AI97" s="3">
        <v>0</v>
      </c>
      <c r="AJ97" s="3"/>
      <c r="AK97" s="3">
        <v>0</v>
      </c>
      <c r="AL97" s="3"/>
      <c r="AM97" s="3">
        <v>0</v>
      </c>
      <c r="AN97" s="3"/>
      <c r="AO97" s="3">
        <v>0</v>
      </c>
      <c r="AP97" s="3"/>
      <c r="AQ97" s="3">
        <v>0</v>
      </c>
      <c r="AR97" s="3"/>
      <c r="AS97" s="3">
        <f t="shared" si="5"/>
        <v>0</v>
      </c>
      <c r="AT97" s="3"/>
      <c r="AU97" s="3">
        <f t="shared" si="6"/>
        <v>2481332</v>
      </c>
    </row>
    <row r="98" spans="1:47" ht="12.6" customHeight="1">
      <c r="A98" s="13" t="s">
        <v>359</v>
      </c>
      <c r="B98" s="13"/>
      <c r="C98" s="13" t="s">
        <v>144</v>
      </c>
      <c r="E98" s="3">
        <v>0</v>
      </c>
      <c r="F98" s="3"/>
      <c r="G98" s="3">
        <v>2405737</v>
      </c>
      <c r="H98" s="3"/>
      <c r="I98" s="3">
        <v>46109</v>
      </c>
      <c r="J98" s="3"/>
      <c r="K98" s="3">
        <f>4495708+1375487</f>
        <v>5871195</v>
      </c>
      <c r="L98" s="3"/>
      <c r="M98" s="3">
        <v>0</v>
      </c>
      <c r="N98" s="3"/>
      <c r="O98" s="3">
        <v>0</v>
      </c>
      <c r="P98" s="3"/>
      <c r="Q98" s="3">
        <v>0</v>
      </c>
      <c r="R98" s="3"/>
      <c r="S98" s="3">
        <v>174229</v>
      </c>
      <c r="T98" s="3"/>
      <c r="U98" s="7">
        <f t="shared" si="7"/>
        <v>8497270</v>
      </c>
      <c r="V98" s="3"/>
      <c r="W98" s="3">
        <v>26658</v>
      </c>
      <c r="X98" s="3"/>
      <c r="Y98" s="3"/>
      <c r="Z98" s="3"/>
      <c r="AA98" s="3">
        <v>0</v>
      </c>
      <c r="AB98" s="3"/>
      <c r="AC98" s="13" t="s">
        <v>359</v>
      </c>
      <c r="AD98" s="13"/>
      <c r="AE98" s="13" t="s">
        <v>144</v>
      </c>
      <c r="AF98" s="3"/>
      <c r="AG98" s="3">
        <v>0</v>
      </c>
      <c r="AH98" s="3"/>
      <c r="AI98" s="3">
        <v>0</v>
      </c>
      <c r="AJ98" s="3"/>
      <c r="AK98" s="3">
        <v>0</v>
      </c>
      <c r="AL98" s="3"/>
      <c r="AM98" s="3">
        <v>0</v>
      </c>
      <c r="AN98" s="3"/>
      <c r="AO98" s="3">
        <v>0</v>
      </c>
      <c r="AP98" s="3"/>
      <c r="AQ98" s="3">
        <v>0</v>
      </c>
      <c r="AR98" s="3"/>
      <c r="AS98" s="3">
        <f t="shared" si="5"/>
        <v>26658</v>
      </c>
      <c r="AT98" s="3"/>
      <c r="AU98" s="3">
        <f t="shared" si="6"/>
        <v>8523928</v>
      </c>
    </row>
    <row r="99" spans="1:47">
      <c r="A99" s="13" t="s">
        <v>358</v>
      </c>
      <c r="B99" s="13"/>
      <c r="C99" s="13" t="s">
        <v>177</v>
      </c>
      <c r="E99" s="3">
        <v>0</v>
      </c>
      <c r="F99" s="3"/>
      <c r="G99" s="3">
        <v>2705405</v>
      </c>
      <c r="H99" s="3"/>
      <c r="I99" s="3">
        <v>10012</v>
      </c>
      <c r="J99" s="3"/>
      <c r="K99" s="3">
        <f>6793002+14920+927+6432607+140408</f>
        <v>13381864</v>
      </c>
      <c r="L99" s="3"/>
      <c r="M99" s="3">
        <v>0</v>
      </c>
      <c r="N99" s="3"/>
      <c r="O99" s="3">
        <v>0</v>
      </c>
      <c r="P99" s="3"/>
      <c r="Q99" s="3">
        <v>79</v>
      </c>
      <c r="R99" s="3"/>
      <c r="S99" s="3">
        <v>71822</v>
      </c>
      <c r="T99" s="3"/>
      <c r="U99" s="7">
        <f t="shared" si="7"/>
        <v>16169182</v>
      </c>
      <c r="V99" s="3"/>
      <c r="W99" s="3">
        <v>191517</v>
      </c>
      <c r="X99" s="3"/>
      <c r="Y99" s="3"/>
      <c r="Z99" s="3"/>
      <c r="AA99" s="3">
        <v>0</v>
      </c>
      <c r="AB99" s="3"/>
      <c r="AC99" s="13" t="s">
        <v>358</v>
      </c>
      <c r="AD99" s="13"/>
      <c r="AE99" s="13" t="s">
        <v>177</v>
      </c>
      <c r="AF99" s="3"/>
      <c r="AG99" s="3">
        <v>0</v>
      </c>
      <c r="AH99" s="3"/>
      <c r="AI99" s="3">
        <v>0</v>
      </c>
      <c r="AJ99" s="3"/>
      <c r="AK99" s="3">
        <v>0</v>
      </c>
      <c r="AL99" s="3"/>
      <c r="AM99" s="3">
        <v>0</v>
      </c>
      <c r="AN99" s="3"/>
      <c r="AO99" s="3">
        <v>0</v>
      </c>
      <c r="AP99" s="3"/>
      <c r="AQ99" s="3">
        <v>0</v>
      </c>
      <c r="AR99" s="3"/>
      <c r="AS99" s="3">
        <f t="shared" si="5"/>
        <v>191517</v>
      </c>
      <c r="AT99" s="3"/>
      <c r="AU99" s="3">
        <f t="shared" si="6"/>
        <v>16360699</v>
      </c>
    </row>
    <row r="100" spans="1:47" hidden="1">
      <c r="A100" s="3" t="s">
        <v>322</v>
      </c>
      <c r="B100" s="13"/>
      <c r="C100" s="13" t="s">
        <v>153</v>
      </c>
      <c r="E100" s="3">
        <v>0</v>
      </c>
      <c r="F100" s="3"/>
      <c r="G100" s="3">
        <v>0</v>
      </c>
      <c r="H100" s="3"/>
      <c r="I100" s="3">
        <v>0</v>
      </c>
      <c r="J100" s="3"/>
      <c r="K100" s="3">
        <v>0</v>
      </c>
      <c r="L100" s="3"/>
      <c r="M100" s="3">
        <v>0</v>
      </c>
      <c r="N100" s="3"/>
      <c r="O100" s="3">
        <v>0</v>
      </c>
      <c r="P100" s="3"/>
      <c r="Q100" s="3">
        <v>0</v>
      </c>
      <c r="R100" s="3"/>
      <c r="S100" s="3">
        <v>0</v>
      </c>
      <c r="T100" s="3"/>
      <c r="U100" s="7">
        <f t="shared" si="7"/>
        <v>0</v>
      </c>
      <c r="V100" s="3"/>
      <c r="W100" s="3">
        <v>0</v>
      </c>
      <c r="X100" s="3"/>
      <c r="Y100" s="3"/>
      <c r="Z100" s="3"/>
      <c r="AA100" s="3">
        <v>0</v>
      </c>
      <c r="AB100" s="3"/>
      <c r="AC100" s="3" t="s">
        <v>322</v>
      </c>
      <c r="AD100" s="13"/>
      <c r="AE100" s="13" t="s">
        <v>153</v>
      </c>
      <c r="AF100" s="3"/>
      <c r="AG100" s="3">
        <v>0</v>
      </c>
      <c r="AH100" s="3"/>
      <c r="AI100" s="3">
        <v>0</v>
      </c>
      <c r="AJ100" s="3"/>
      <c r="AK100" s="3">
        <v>0</v>
      </c>
      <c r="AL100" s="3"/>
      <c r="AM100" s="3">
        <v>0</v>
      </c>
      <c r="AN100" s="3"/>
      <c r="AO100" s="3">
        <v>0</v>
      </c>
      <c r="AP100" s="3"/>
      <c r="AQ100" s="3">
        <v>0</v>
      </c>
      <c r="AR100" s="3"/>
      <c r="AS100" s="3">
        <f t="shared" si="5"/>
        <v>0</v>
      </c>
      <c r="AT100" s="3"/>
      <c r="AU100" s="3">
        <f t="shared" si="6"/>
        <v>0</v>
      </c>
    </row>
    <row r="101" spans="1:47">
      <c r="A101" s="3" t="s">
        <v>323</v>
      </c>
      <c r="B101" s="13"/>
      <c r="C101" s="13" t="s">
        <v>178</v>
      </c>
      <c r="E101" s="3">
        <v>0</v>
      </c>
      <c r="F101" s="3"/>
      <c r="G101" s="3">
        <f>1778976+165150</f>
        <v>1944126</v>
      </c>
      <c r="H101" s="3"/>
      <c r="I101" s="3">
        <v>27206</v>
      </c>
      <c r="J101" s="3"/>
      <c r="K101" s="3">
        <f>12666123+2979612</f>
        <v>15645735</v>
      </c>
      <c r="L101" s="3"/>
      <c r="M101" s="3">
        <v>0</v>
      </c>
      <c r="N101" s="3"/>
      <c r="O101" s="3">
        <v>0</v>
      </c>
      <c r="P101" s="3"/>
      <c r="Q101" s="3">
        <v>0</v>
      </c>
      <c r="R101" s="3"/>
      <c r="S101" s="3">
        <v>63715</v>
      </c>
      <c r="T101" s="3"/>
      <c r="U101" s="7">
        <f t="shared" si="7"/>
        <v>17680782</v>
      </c>
      <c r="V101" s="3"/>
      <c r="W101" s="3">
        <v>0</v>
      </c>
      <c r="X101" s="3"/>
      <c r="Y101" s="3"/>
      <c r="Z101" s="3"/>
      <c r="AA101" s="3">
        <v>0</v>
      </c>
      <c r="AB101" s="3"/>
      <c r="AC101" s="3" t="s">
        <v>323</v>
      </c>
      <c r="AD101" s="13"/>
      <c r="AE101" s="13" t="s">
        <v>178</v>
      </c>
      <c r="AF101" s="3"/>
      <c r="AG101" s="3">
        <v>0</v>
      </c>
      <c r="AH101" s="3"/>
      <c r="AI101" s="3">
        <v>0</v>
      </c>
      <c r="AJ101" s="3"/>
      <c r="AK101" s="3">
        <v>3035</v>
      </c>
      <c r="AL101" s="3"/>
      <c r="AM101" s="3">
        <v>0</v>
      </c>
      <c r="AN101" s="3"/>
      <c r="AO101" s="3">
        <v>0</v>
      </c>
      <c r="AP101" s="3"/>
      <c r="AQ101" s="3">
        <v>0</v>
      </c>
      <c r="AR101" s="3"/>
      <c r="AS101" s="3">
        <f t="shared" si="5"/>
        <v>3035</v>
      </c>
      <c r="AT101" s="3"/>
      <c r="AU101" s="3">
        <f t="shared" ref="AU101:AU130" si="8">+AS101+U101</f>
        <v>17683817</v>
      </c>
    </row>
    <row r="102" spans="1:47">
      <c r="A102" s="3" t="s">
        <v>179</v>
      </c>
      <c r="B102" s="13"/>
      <c r="C102" s="13" t="s">
        <v>180</v>
      </c>
      <c r="E102" s="3">
        <v>0</v>
      </c>
      <c r="F102" s="3"/>
      <c r="G102" s="3">
        <v>1464934</v>
      </c>
      <c r="H102" s="3"/>
      <c r="I102" s="3">
        <v>16241</v>
      </c>
      <c r="J102" s="3"/>
      <c r="K102" s="3">
        <f>102993+4178344</f>
        <v>4281337</v>
      </c>
      <c r="L102" s="3"/>
      <c r="M102" s="3">
        <v>0</v>
      </c>
      <c r="N102" s="3"/>
      <c r="O102" s="3">
        <v>0</v>
      </c>
      <c r="P102" s="3"/>
      <c r="Q102" s="3">
        <v>2318</v>
      </c>
      <c r="R102" s="3"/>
      <c r="S102" s="3">
        <v>0</v>
      </c>
      <c r="T102" s="3"/>
      <c r="U102" s="7">
        <f t="shared" si="7"/>
        <v>5764830</v>
      </c>
      <c r="V102" s="3"/>
      <c r="W102" s="3">
        <v>0</v>
      </c>
      <c r="X102" s="3"/>
      <c r="Y102" s="3"/>
      <c r="Z102" s="3"/>
      <c r="AA102" s="3">
        <v>0</v>
      </c>
      <c r="AB102" s="3"/>
      <c r="AC102" s="3" t="s">
        <v>179</v>
      </c>
      <c r="AD102" s="13"/>
      <c r="AE102" s="13" t="s">
        <v>180</v>
      </c>
      <c r="AF102" s="3"/>
      <c r="AG102" s="3">
        <v>0</v>
      </c>
      <c r="AH102" s="3"/>
      <c r="AI102" s="3">
        <v>0</v>
      </c>
      <c r="AJ102" s="3"/>
      <c r="AK102" s="3">
        <v>0</v>
      </c>
      <c r="AL102" s="3"/>
      <c r="AM102" s="3">
        <v>0</v>
      </c>
      <c r="AN102" s="3"/>
      <c r="AO102" s="3">
        <v>0</v>
      </c>
      <c r="AP102" s="3"/>
      <c r="AQ102" s="3">
        <v>0</v>
      </c>
      <c r="AR102" s="3"/>
      <c r="AS102" s="3">
        <f t="shared" si="5"/>
        <v>0</v>
      </c>
      <c r="AT102" s="3"/>
      <c r="AU102" s="3">
        <f t="shared" si="8"/>
        <v>5764830</v>
      </c>
    </row>
    <row r="103" spans="1:47" hidden="1">
      <c r="A103" s="3" t="s">
        <v>324</v>
      </c>
      <c r="B103" s="13"/>
      <c r="C103" s="13" t="s">
        <v>181</v>
      </c>
      <c r="E103" s="3">
        <v>0</v>
      </c>
      <c r="F103" s="3"/>
      <c r="G103" s="3">
        <v>0</v>
      </c>
      <c r="H103" s="3"/>
      <c r="I103" s="3">
        <v>0</v>
      </c>
      <c r="J103" s="3"/>
      <c r="K103" s="3">
        <v>0</v>
      </c>
      <c r="L103" s="3"/>
      <c r="M103" s="3">
        <v>0</v>
      </c>
      <c r="N103" s="3"/>
      <c r="O103" s="3">
        <v>0</v>
      </c>
      <c r="P103" s="3"/>
      <c r="Q103" s="3">
        <v>0</v>
      </c>
      <c r="R103" s="3"/>
      <c r="S103" s="3">
        <v>0</v>
      </c>
      <c r="T103" s="3"/>
      <c r="U103" s="7">
        <f t="shared" si="7"/>
        <v>0</v>
      </c>
      <c r="V103" s="3"/>
      <c r="W103" s="3">
        <v>0</v>
      </c>
      <c r="X103" s="3"/>
      <c r="Y103" s="3"/>
      <c r="Z103" s="3"/>
      <c r="AA103" s="3">
        <v>0</v>
      </c>
      <c r="AB103" s="3"/>
      <c r="AC103" s="3" t="s">
        <v>324</v>
      </c>
      <c r="AD103" s="13"/>
      <c r="AE103" s="13" t="s">
        <v>181</v>
      </c>
      <c r="AF103" s="3"/>
      <c r="AG103" s="3">
        <v>0</v>
      </c>
      <c r="AH103" s="3"/>
      <c r="AI103" s="3">
        <v>0</v>
      </c>
      <c r="AJ103" s="3"/>
      <c r="AK103" s="3">
        <v>0</v>
      </c>
      <c r="AL103" s="3"/>
      <c r="AM103" s="3">
        <v>0</v>
      </c>
      <c r="AN103" s="3"/>
      <c r="AO103" s="3">
        <v>0</v>
      </c>
      <c r="AP103" s="3"/>
      <c r="AQ103" s="3">
        <v>0</v>
      </c>
      <c r="AR103" s="3"/>
      <c r="AS103" s="3">
        <f t="shared" si="5"/>
        <v>0</v>
      </c>
      <c r="AT103" s="3"/>
      <c r="AU103" s="3">
        <f t="shared" si="8"/>
        <v>0</v>
      </c>
    </row>
    <row r="104" spans="1:47">
      <c r="A104" s="3" t="s">
        <v>325</v>
      </c>
      <c r="B104" s="13"/>
      <c r="C104" s="13" t="s">
        <v>182</v>
      </c>
      <c r="E104" s="3">
        <v>0</v>
      </c>
      <c r="F104" s="3"/>
      <c r="G104" s="3">
        <v>1180520</v>
      </c>
      <c r="H104" s="3"/>
      <c r="I104" s="3">
        <v>9615</v>
      </c>
      <c r="J104" s="3"/>
      <c r="K104" s="3">
        <f>11389346+24655</f>
        <v>11414001</v>
      </c>
      <c r="L104" s="3"/>
      <c r="M104" s="3">
        <v>0</v>
      </c>
      <c r="N104" s="3"/>
      <c r="O104" s="3">
        <v>0</v>
      </c>
      <c r="P104" s="3"/>
      <c r="Q104" s="3">
        <v>4346</v>
      </c>
      <c r="R104" s="3"/>
      <c r="S104" s="3">
        <v>89262</v>
      </c>
      <c r="T104" s="3"/>
      <c r="U104" s="7">
        <f t="shared" si="7"/>
        <v>12697744</v>
      </c>
      <c r="V104" s="3"/>
      <c r="W104" s="3">
        <v>0</v>
      </c>
      <c r="X104" s="3"/>
      <c r="Y104" s="3"/>
      <c r="Z104" s="3"/>
      <c r="AA104" s="3">
        <v>0</v>
      </c>
      <c r="AB104" s="3"/>
      <c r="AC104" s="3" t="s">
        <v>325</v>
      </c>
      <c r="AD104" s="13"/>
      <c r="AE104" s="13" t="s">
        <v>182</v>
      </c>
      <c r="AF104" s="3"/>
      <c r="AG104" s="3">
        <v>0</v>
      </c>
      <c r="AH104" s="3"/>
      <c r="AI104" s="3">
        <v>0</v>
      </c>
      <c r="AJ104" s="3"/>
      <c r="AK104" s="3">
        <v>0</v>
      </c>
      <c r="AL104" s="3"/>
      <c r="AM104" s="3">
        <v>0</v>
      </c>
      <c r="AN104" s="3"/>
      <c r="AO104" s="3">
        <v>0</v>
      </c>
      <c r="AP104" s="3"/>
      <c r="AQ104" s="3">
        <v>0</v>
      </c>
      <c r="AR104" s="3"/>
      <c r="AS104" s="3">
        <f t="shared" si="5"/>
        <v>0</v>
      </c>
      <c r="AT104" s="3"/>
      <c r="AU104" s="3">
        <f t="shared" si="8"/>
        <v>12697744</v>
      </c>
    </row>
    <row r="105" spans="1:47" hidden="1">
      <c r="A105" s="3" t="s">
        <v>280</v>
      </c>
      <c r="B105" s="3"/>
      <c r="C105" s="3" t="s">
        <v>191</v>
      </c>
      <c r="E105" s="3">
        <v>0</v>
      </c>
      <c r="F105" s="3"/>
      <c r="G105" s="3">
        <v>0</v>
      </c>
      <c r="H105" s="3"/>
      <c r="I105" s="3">
        <v>0</v>
      </c>
      <c r="J105" s="3"/>
      <c r="K105" s="3">
        <v>0</v>
      </c>
      <c r="L105" s="3"/>
      <c r="M105" s="3">
        <v>0</v>
      </c>
      <c r="N105" s="3"/>
      <c r="O105" s="3">
        <v>0</v>
      </c>
      <c r="P105" s="3"/>
      <c r="Q105" s="3">
        <v>0</v>
      </c>
      <c r="R105" s="3"/>
      <c r="S105" s="3">
        <v>0</v>
      </c>
      <c r="T105" s="3"/>
      <c r="U105" s="7">
        <f>SUM(E105:T105)</f>
        <v>0</v>
      </c>
      <c r="V105" s="3"/>
      <c r="W105" s="3">
        <v>0</v>
      </c>
      <c r="X105" s="3"/>
      <c r="Y105" s="3"/>
      <c r="Z105" s="3"/>
      <c r="AA105" s="3">
        <v>0</v>
      </c>
      <c r="AB105" s="3"/>
      <c r="AC105" s="3" t="s">
        <v>280</v>
      </c>
      <c r="AD105" s="3"/>
      <c r="AE105" s="3" t="s">
        <v>191</v>
      </c>
      <c r="AF105" s="3"/>
      <c r="AG105" s="3">
        <v>0</v>
      </c>
      <c r="AH105" s="3"/>
      <c r="AI105" s="3">
        <v>0</v>
      </c>
      <c r="AJ105" s="3"/>
      <c r="AK105" s="3">
        <v>0</v>
      </c>
      <c r="AL105" s="3"/>
      <c r="AM105" s="3">
        <v>0</v>
      </c>
      <c r="AN105" s="3"/>
      <c r="AO105" s="3">
        <v>0</v>
      </c>
      <c r="AP105" s="3"/>
      <c r="AQ105" s="3">
        <v>0</v>
      </c>
      <c r="AR105" s="3"/>
      <c r="AS105" s="3">
        <f t="shared" si="5"/>
        <v>0</v>
      </c>
      <c r="AT105" s="3"/>
      <c r="AU105" s="3">
        <f t="shared" si="8"/>
        <v>0</v>
      </c>
    </row>
    <row r="106" spans="1:47">
      <c r="A106" s="3" t="s">
        <v>326</v>
      </c>
      <c r="B106" s="13"/>
      <c r="C106" s="13" t="s">
        <v>183</v>
      </c>
      <c r="E106" s="3">
        <v>0</v>
      </c>
      <c r="F106" s="3"/>
      <c r="G106" s="3">
        <v>917307</v>
      </c>
      <c r="H106" s="3"/>
      <c r="I106" s="3">
        <v>27087</v>
      </c>
      <c r="J106" s="3"/>
      <c r="K106" s="3">
        <f>18811425+5558528</f>
        <v>24369953</v>
      </c>
      <c r="L106" s="3"/>
      <c r="M106" s="3">
        <v>0</v>
      </c>
      <c r="N106" s="3"/>
      <c r="O106" s="3">
        <v>0</v>
      </c>
      <c r="P106" s="3"/>
      <c r="Q106" s="3">
        <v>0</v>
      </c>
      <c r="R106" s="3"/>
      <c r="S106" s="3">
        <v>83064</v>
      </c>
      <c r="T106" s="3"/>
      <c r="U106" s="7">
        <f t="shared" si="7"/>
        <v>25397411</v>
      </c>
      <c r="V106" s="3"/>
      <c r="W106" s="3">
        <v>0</v>
      </c>
      <c r="X106" s="3"/>
      <c r="Y106" s="3"/>
      <c r="Z106" s="3"/>
      <c r="AA106" s="3">
        <v>0</v>
      </c>
      <c r="AB106" s="3"/>
      <c r="AC106" s="3" t="s">
        <v>326</v>
      </c>
      <c r="AD106" s="13"/>
      <c r="AE106" s="13" t="s">
        <v>183</v>
      </c>
      <c r="AF106" s="3"/>
      <c r="AG106" s="3">
        <v>0</v>
      </c>
      <c r="AH106" s="3"/>
      <c r="AI106" s="3">
        <v>0</v>
      </c>
      <c r="AJ106" s="3"/>
      <c r="AK106" s="3">
        <v>0</v>
      </c>
      <c r="AL106" s="3"/>
      <c r="AM106" s="3">
        <v>0</v>
      </c>
      <c r="AN106" s="3"/>
      <c r="AO106" s="3">
        <v>0</v>
      </c>
      <c r="AP106" s="3"/>
      <c r="AQ106" s="3">
        <v>0</v>
      </c>
      <c r="AR106" s="3"/>
      <c r="AS106" s="3">
        <f t="shared" si="5"/>
        <v>0</v>
      </c>
      <c r="AT106" s="3"/>
      <c r="AU106" s="3">
        <f t="shared" si="8"/>
        <v>25397411</v>
      </c>
    </row>
    <row r="107" spans="1:47">
      <c r="A107" s="3" t="s">
        <v>184</v>
      </c>
      <c r="B107" s="13"/>
      <c r="C107" s="13" t="s">
        <v>185</v>
      </c>
      <c r="E107" s="3">
        <v>0</v>
      </c>
      <c r="F107" s="3"/>
      <c r="G107" s="3">
        <v>1672207</v>
      </c>
      <c r="H107" s="3"/>
      <c r="I107" s="3">
        <v>20533</v>
      </c>
      <c r="J107" s="3"/>
      <c r="K107" s="3">
        <f>8713982+3957582</f>
        <v>12671564</v>
      </c>
      <c r="L107" s="3"/>
      <c r="M107" s="3">
        <v>13815</v>
      </c>
      <c r="N107" s="3"/>
      <c r="O107" s="3">
        <v>0</v>
      </c>
      <c r="P107" s="3"/>
      <c r="Q107" s="3">
        <v>0</v>
      </c>
      <c r="R107" s="3"/>
      <c r="S107" s="3">
        <v>54127</v>
      </c>
      <c r="T107" s="3"/>
      <c r="U107" s="7">
        <f t="shared" si="7"/>
        <v>14432246</v>
      </c>
      <c r="V107" s="3"/>
      <c r="W107" s="3">
        <v>40862</v>
      </c>
      <c r="X107" s="3"/>
      <c r="Y107" s="3"/>
      <c r="Z107" s="3"/>
      <c r="AA107" s="3">
        <v>0</v>
      </c>
      <c r="AB107" s="3"/>
      <c r="AC107" s="3" t="s">
        <v>184</v>
      </c>
      <c r="AD107" s="13"/>
      <c r="AE107" s="13" t="s">
        <v>185</v>
      </c>
      <c r="AF107" s="3"/>
      <c r="AG107" s="3">
        <v>0</v>
      </c>
      <c r="AH107" s="3"/>
      <c r="AI107" s="3">
        <v>0</v>
      </c>
      <c r="AJ107" s="3"/>
      <c r="AK107" s="3">
        <v>0</v>
      </c>
      <c r="AL107" s="3"/>
      <c r="AM107" s="3">
        <v>0</v>
      </c>
      <c r="AN107" s="3"/>
      <c r="AO107" s="3">
        <v>0</v>
      </c>
      <c r="AP107" s="3"/>
      <c r="AQ107" s="3">
        <v>0</v>
      </c>
      <c r="AR107" s="3"/>
      <c r="AS107" s="3">
        <f t="shared" si="5"/>
        <v>40862</v>
      </c>
      <c r="AT107" s="3"/>
      <c r="AU107" s="3">
        <f t="shared" si="8"/>
        <v>14473108</v>
      </c>
    </row>
    <row r="108" spans="1:47">
      <c r="A108" s="3" t="s">
        <v>268</v>
      </c>
      <c r="B108" s="13"/>
      <c r="C108" s="13" t="s">
        <v>195</v>
      </c>
      <c r="E108" s="3">
        <v>0</v>
      </c>
      <c r="F108" s="3"/>
      <c r="G108" s="3">
        <f>19727+3065618+50937</f>
        <v>3136282</v>
      </c>
      <c r="H108" s="3"/>
      <c r="I108" s="3">
        <v>1410</v>
      </c>
      <c r="J108" s="3"/>
      <c r="K108" s="3">
        <f>7016659+38584+5067140</f>
        <v>12122383</v>
      </c>
      <c r="L108" s="3"/>
      <c r="M108" s="3">
        <v>0</v>
      </c>
      <c r="N108" s="3"/>
      <c r="O108" s="3">
        <v>0</v>
      </c>
      <c r="P108" s="3"/>
      <c r="Q108" s="3">
        <v>14415</v>
      </c>
      <c r="R108" s="3"/>
      <c r="S108" s="3">
        <v>994534</v>
      </c>
      <c r="T108" s="3"/>
      <c r="U108" s="7">
        <f t="shared" ref="U108:U109" si="9">SUM(E108:T108)</f>
        <v>16269024</v>
      </c>
      <c r="V108" s="3"/>
      <c r="W108" s="3">
        <v>0</v>
      </c>
      <c r="X108" s="3"/>
      <c r="Y108" s="3"/>
      <c r="Z108" s="3"/>
      <c r="AA108" s="3">
        <v>0</v>
      </c>
      <c r="AB108" s="3"/>
      <c r="AC108" s="3" t="s">
        <v>268</v>
      </c>
      <c r="AD108" s="13"/>
      <c r="AE108" s="13" t="s">
        <v>195</v>
      </c>
      <c r="AF108" s="3"/>
      <c r="AG108" s="3">
        <v>0</v>
      </c>
      <c r="AH108" s="3"/>
      <c r="AI108" s="3">
        <v>0</v>
      </c>
      <c r="AJ108" s="3"/>
      <c r="AK108" s="3">
        <v>0</v>
      </c>
      <c r="AL108" s="3"/>
      <c r="AM108" s="3">
        <v>0</v>
      </c>
      <c r="AN108" s="3"/>
      <c r="AO108" s="3">
        <v>0</v>
      </c>
      <c r="AP108" s="3"/>
      <c r="AQ108" s="3">
        <v>0</v>
      </c>
      <c r="AR108" s="3"/>
      <c r="AS108" s="3">
        <f t="shared" ref="AS108:AS109" si="10">SUM(W108:AQ108)</f>
        <v>0</v>
      </c>
      <c r="AT108" s="3"/>
      <c r="AU108" s="3">
        <f t="shared" si="8"/>
        <v>16269024</v>
      </c>
    </row>
    <row r="109" spans="1:47">
      <c r="A109" s="13" t="s">
        <v>305</v>
      </c>
      <c r="B109" s="13"/>
      <c r="C109" s="13" t="s">
        <v>162</v>
      </c>
      <c r="E109" s="3">
        <v>0</v>
      </c>
      <c r="F109" s="3"/>
      <c r="G109" s="3">
        <v>2375483</v>
      </c>
      <c r="H109" s="3"/>
      <c r="I109" s="3">
        <v>13870</v>
      </c>
      <c r="J109" s="3"/>
      <c r="K109" s="3">
        <f>16454301+7150+245132</f>
        <v>16706583</v>
      </c>
      <c r="L109" s="3"/>
      <c r="M109" s="3">
        <v>6309</v>
      </c>
      <c r="N109" s="3"/>
      <c r="O109" s="3">
        <v>0</v>
      </c>
      <c r="P109" s="3"/>
      <c r="Q109" s="3">
        <v>11850</v>
      </c>
      <c r="R109" s="3"/>
      <c r="S109" s="3">
        <v>51296</v>
      </c>
      <c r="T109" s="3"/>
      <c r="U109" s="7">
        <f t="shared" si="9"/>
        <v>19165391</v>
      </c>
      <c r="V109" s="3"/>
      <c r="W109" s="3">
        <v>0</v>
      </c>
      <c r="X109" s="3"/>
      <c r="Y109" s="3"/>
      <c r="Z109" s="3"/>
      <c r="AA109" s="3">
        <v>0</v>
      </c>
      <c r="AB109" s="3"/>
      <c r="AC109" s="13" t="s">
        <v>305</v>
      </c>
      <c r="AD109" s="13"/>
      <c r="AE109" s="13" t="s">
        <v>162</v>
      </c>
      <c r="AF109" s="3"/>
      <c r="AG109" s="3">
        <v>0</v>
      </c>
      <c r="AH109" s="3"/>
      <c r="AI109" s="3">
        <v>0</v>
      </c>
      <c r="AJ109" s="3"/>
      <c r="AK109" s="3">
        <v>0</v>
      </c>
      <c r="AL109" s="3"/>
      <c r="AM109" s="3">
        <v>0</v>
      </c>
      <c r="AN109" s="3"/>
      <c r="AO109" s="3">
        <v>0</v>
      </c>
      <c r="AP109" s="3"/>
      <c r="AQ109" s="3">
        <v>0</v>
      </c>
      <c r="AR109" s="3"/>
      <c r="AS109" s="3">
        <f t="shared" si="10"/>
        <v>0</v>
      </c>
      <c r="AT109" s="3"/>
      <c r="AU109" s="3">
        <f t="shared" si="8"/>
        <v>19165391</v>
      </c>
    </row>
    <row r="110" spans="1:47">
      <c r="A110" s="3" t="s">
        <v>165</v>
      </c>
      <c r="B110" s="13"/>
      <c r="C110" s="3" t="s">
        <v>327</v>
      </c>
      <c r="E110" s="3">
        <v>0</v>
      </c>
      <c r="F110" s="3"/>
      <c r="G110" s="3">
        <v>2493246</v>
      </c>
      <c r="H110" s="3"/>
      <c r="I110" s="3">
        <v>6078</v>
      </c>
      <c r="J110" s="3"/>
      <c r="K110" s="3">
        <f>16756622+524945</f>
        <v>17281567</v>
      </c>
      <c r="L110" s="3"/>
      <c r="M110" s="3">
        <v>0</v>
      </c>
      <c r="N110" s="3"/>
      <c r="O110" s="3">
        <v>0</v>
      </c>
      <c r="P110" s="3"/>
      <c r="Q110" s="3">
        <v>9333</v>
      </c>
      <c r="R110" s="3"/>
      <c r="S110" s="3">
        <v>61483</v>
      </c>
      <c r="T110" s="3"/>
      <c r="U110" s="7">
        <f t="shared" si="7"/>
        <v>19851707</v>
      </c>
      <c r="V110" s="3"/>
      <c r="W110" s="3">
        <v>0</v>
      </c>
      <c r="X110" s="3"/>
      <c r="Y110" s="3"/>
      <c r="Z110" s="3"/>
      <c r="AA110" s="3">
        <v>0</v>
      </c>
      <c r="AB110" s="3"/>
      <c r="AC110" s="3" t="s">
        <v>165</v>
      </c>
      <c r="AD110" s="13"/>
      <c r="AE110" s="3" t="s">
        <v>327</v>
      </c>
      <c r="AF110" s="3"/>
      <c r="AG110" s="3">
        <v>0</v>
      </c>
      <c r="AH110" s="3"/>
      <c r="AI110" s="3">
        <v>0</v>
      </c>
      <c r="AJ110" s="3"/>
      <c r="AK110" s="3">
        <v>0</v>
      </c>
      <c r="AL110" s="3"/>
      <c r="AM110" s="3">
        <v>0</v>
      </c>
      <c r="AN110" s="3"/>
      <c r="AO110" s="3">
        <v>0</v>
      </c>
      <c r="AP110" s="3"/>
      <c r="AQ110" s="3">
        <v>0</v>
      </c>
      <c r="AR110" s="3"/>
      <c r="AS110" s="3">
        <f t="shared" ref="AS110:AS130" si="11">SUM(W110:AQ110)</f>
        <v>0</v>
      </c>
      <c r="AT110" s="3"/>
      <c r="AU110" s="3">
        <f t="shared" si="8"/>
        <v>19851707</v>
      </c>
    </row>
    <row r="111" spans="1:47">
      <c r="A111" s="3" t="s">
        <v>314</v>
      </c>
      <c r="B111" s="13"/>
      <c r="C111" s="3" t="s">
        <v>262</v>
      </c>
      <c r="E111" s="3">
        <v>0</v>
      </c>
      <c r="F111" s="3"/>
      <c r="G111" s="3">
        <v>2392047</v>
      </c>
      <c r="H111" s="3"/>
      <c r="I111" s="3">
        <v>2678</v>
      </c>
      <c r="J111" s="3"/>
      <c r="K111" s="3">
        <f>759897+7863+4843795</f>
        <v>5611555</v>
      </c>
      <c r="L111" s="3"/>
      <c r="M111" s="3">
        <v>0</v>
      </c>
      <c r="N111" s="3"/>
      <c r="O111" s="3">
        <v>0</v>
      </c>
      <c r="P111" s="3"/>
      <c r="Q111" s="3">
        <v>754</v>
      </c>
      <c r="R111" s="3"/>
      <c r="S111" s="3">
        <v>2010</v>
      </c>
      <c r="T111" s="3"/>
      <c r="U111" s="7">
        <f t="shared" si="7"/>
        <v>8009044</v>
      </c>
      <c r="V111" s="3"/>
      <c r="W111" s="3">
        <v>0</v>
      </c>
      <c r="X111" s="3"/>
      <c r="Y111" s="3"/>
      <c r="Z111" s="3"/>
      <c r="AA111" s="3">
        <v>0</v>
      </c>
      <c r="AB111" s="3"/>
      <c r="AC111" s="3" t="s">
        <v>314</v>
      </c>
      <c r="AD111" s="13"/>
      <c r="AE111" s="3" t="s">
        <v>262</v>
      </c>
      <c r="AF111" s="3"/>
      <c r="AG111" s="3">
        <v>0</v>
      </c>
      <c r="AH111" s="3"/>
      <c r="AI111" s="3">
        <v>0</v>
      </c>
      <c r="AJ111" s="3"/>
      <c r="AK111" s="3">
        <v>0</v>
      </c>
      <c r="AL111" s="3"/>
      <c r="AM111" s="3">
        <v>0</v>
      </c>
      <c r="AN111" s="3"/>
      <c r="AO111" s="3">
        <v>0</v>
      </c>
      <c r="AP111" s="3"/>
      <c r="AQ111" s="3">
        <v>0</v>
      </c>
      <c r="AR111" s="3"/>
      <c r="AS111" s="3">
        <f t="shared" si="11"/>
        <v>0</v>
      </c>
      <c r="AT111" s="3"/>
      <c r="AU111" s="3">
        <f t="shared" si="8"/>
        <v>8009044</v>
      </c>
    </row>
    <row r="112" spans="1:47" hidden="1">
      <c r="A112" s="3" t="s">
        <v>364</v>
      </c>
      <c r="B112" s="13"/>
      <c r="C112" s="13" t="s">
        <v>186</v>
      </c>
      <c r="E112" s="3">
        <v>0</v>
      </c>
      <c r="F112" s="3"/>
      <c r="G112" s="3">
        <v>0</v>
      </c>
      <c r="H112" s="3"/>
      <c r="I112" s="3">
        <v>0</v>
      </c>
      <c r="J112" s="3"/>
      <c r="K112" s="3">
        <v>0</v>
      </c>
      <c r="L112" s="3"/>
      <c r="M112" s="3">
        <v>0</v>
      </c>
      <c r="N112" s="3"/>
      <c r="O112" s="3">
        <v>0</v>
      </c>
      <c r="P112" s="3"/>
      <c r="Q112" s="3">
        <v>0</v>
      </c>
      <c r="R112" s="3"/>
      <c r="S112" s="3">
        <v>0</v>
      </c>
      <c r="T112" s="3"/>
      <c r="U112" s="7">
        <f t="shared" si="7"/>
        <v>0</v>
      </c>
      <c r="V112" s="3"/>
      <c r="W112" s="3">
        <v>0</v>
      </c>
      <c r="X112" s="3"/>
      <c r="Y112" s="3"/>
      <c r="Z112" s="3"/>
      <c r="AA112" s="3">
        <v>0</v>
      </c>
      <c r="AB112" s="3"/>
      <c r="AC112" s="3" t="s">
        <v>364</v>
      </c>
      <c r="AD112" s="13"/>
      <c r="AE112" s="13" t="s">
        <v>186</v>
      </c>
      <c r="AF112" s="3"/>
      <c r="AG112" s="3">
        <v>0</v>
      </c>
      <c r="AH112" s="3"/>
      <c r="AI112" s="3">
        <v>0</v>
      </c>
      <c r="AJ112" s="3"/>
      <c r="AK112" s="3">
        <v>0</v>
      </c>
      <c r="AL112" s="3"/>
      <c r="AM112" s="3">
        <v>0</v>
      </c>
      <c r="AN112" s="3"/>
      <c r="AO112" s="3">
        <v>0</v>
      </c>
      <c r="AP112" s="3"/>
      <c r="AQ112" s="3">
        <v>0</v>
      </c>
      <c r="AR112" s="3"/>
      <c r="AS112" s="3">
        <f t="shared" si="11"/>
        <v>0</v>
      </c>
      <c r="AT112" s="3"/>
      <c r="AU112" s="3">
        <f t="shared" si="8"/>
        <v>0</v>
      </c>
    </row>
    <row r="113" spans="1:47">
      <c r="A113" s="3" t="s">
        <v>338</v>
      </c>
      <c r="B113" s="13"/>
      <c r="C113" s="13" t="s">
        <v>187</v>
      </c>
      <c r="E113" s="3">
        <v>0</v>
      </c>
      <c r="F113" s="3"/>
      <c r="G113" s="3">
        <v>554930</v>
      </c>
      <c r="H113" s="3"/>
      <c r="I113" s="3">
        <v>0</v>
      </c>
      <c r="J113" s="3"/>
      <c r="K113" s="3">
        <f>2710537+5525</f>
        <v>2716062</v>
      </c>
      <c r="L113" s="3"/>
      <c r="M113" s="3">
        <v>0</v>
      </c>
      <c r="N113" s="3"/>
      <c r="O113" s="3">
        <v>0</v>
      </c>
      <c r="P113" s="3"/>
      <c r="Q113" s="3">
        <v>0</v>
      </c>
      <c r="R113" s="3"/>
      <c r="S113" s="3">
        <v>20223</v>
      </c>
      <c r="T113" s="3"/>
      <c r="U113" s="7">
        <f t="shared" si="7"/>
        <v>3291215</v>
      </c>
      <c r="V113" s="3"/>
      <c r="W113" s="3">
        <v>59</v>
      </c>
      <c r="X113" s="3"/>
      <c r="Y113" s="3"/>
      <c r="Z113" s="3"/>
      <c r="AA113" s="3">
        <v>0</v>
      </c>
      <c r="AB113" s="3"/>
      <c r="AC113" s="3" t="s">
        <v>338</v>
      </c>
      <c r="AD113" s="13"/>
      <c r="AE113" s="13" t="s">
        <v>187</v>
      </c>
      <c r="AF113" s="3"/>
      <c r="AG113" s="3">
        <v>0</v>
      </c>
      <c r="AH113" s="3"/>
      <c r="AI113" s="3">
        <v>0</v>
      </c>
      <c r="AJ113" s="3"/>
      <c r="AK113" s="3">
        <v>0</v>
      </c>
      <c r="AL113" s="3"/>
      <c r="AM113" s="3">
        <v>0</v>
      </c>
      <c r="AN113" s="3"/>
      <c r="AO113" s="3">
        <v>0</v>
      </c>
      <c r="AP113" s="3"/>
      <c r="AQ113" s="3">
        <v>0</v>
      </c>
      <c r="AR113" s="3"/>
      <c r="AS113" s="3">
        <f t="shared" si="11"/>
        <v>59</v>
      </c>
      <c r="AT113" s="3"/>
      <c r="AU113" s="3">
        <f t="shared" si="8"/>
        <v>3291274</v>
      </c>
    </row>
    <row r="114" spans="1:47">
      <c r="A114" s="3" t="s">
        <v>329</v>
      </c>
      <c r="B114" s="13"/>
      <c r="C114" s="13" t="s">
        <v>188</v>
      </c>
      <c r="E114" s="3">
        <v>0</v>
      </c>
      <c r="F114" s="3"/>
      <c r="G114" s="3">
        <v>1127112</v>
      </c>
      <c r="H114" s="3"/>
      <c r="I114" s="3">
        <v>296</v>
      </c>
      <c r="J114" s="3"/>
      <c r="K114" s="3">
        <f>4693447+1203881</f>
        <v>5897328</v>
      </c>
      <c r="L114" s="3"/>
      <c r="M114" s="3">
        <v>0</v>
      </c>
      <c r="N114" s="3"/>
      <c r="O114" s="3">
        <v>0</v>
      </c>
      <c r="P114" s="3"/>
      <c r="Q114" s="3">
        <v>800</v>
      </c>
      <c r="R114" s="3"/>
      <c r="S114" s="3">
        <v>18602</v>
      </c>
      <c r="T114" s="3"/>
      <c r="U114" s="7">
        <f t="shared" si="7"/>
        <v>7044138</v>
      </c>
      <c r="V114" s="3"/>
      <c r="W114" s="3">
        <v>0</v>
      </c>
      <c r="X114" s="3"/>
      <c r="Y114" s="3"/>
      <c r="Z114" s="3"/>
      <c r="AA114" s="3">
        <v>0</v>
      </c>
      <c r="AB114" s="3"/>
      <c r="AC114" s="3" t="s">
        <v>329</v>
      </c>
      <c r="AD114" s="13"/>
      <c r="AE114" s="13" t="s">
        <v>188</v>
      </c>
      <c r="AF114" s="3"/>
      <c r="AG114" s="3">
        <v>0</v>
      </c>
      <c r="AH114" s="3"/>
      <c r="AI114" s="3">
        <v>37945</v>
      </c>
      <c r="AJ114" s="3"/>
      <c r="AK114" s="3">
        <v>0</v>
      </c>
      <c r="AL114" s="3"/>
      <c r="AM114" s="3">
        <v>0</v>
      </c>
      <c r="AN114" s="3"/>
      <c r="AO114" s="3">
        <v>0</v>
      </c>
      <c r="AP114" s="3"/>
      <c r="AQ114" s="3">
        <v>0</v>
      </c>
      <c r="AR114" s="3"/>
      <c r="AS114" s="3">
        <f t="shared" si="11"/>
        <v>37945</v>
      </c>
      <c r="AT114" s="3"/>
      <c r="AU114" s="3">
        <f t="shared" si="8"/>
        <v>7082083</v>
      </c>
    </row>
    <row r="115" spans="1:47" hidden="1">
      <c r="A115" s="13" t="s">
        <v>330</v>
      </c>
      <c r="B115" s="13"/>
      <c r="C115" s="13" t="s">
        <v>189</v>
      </c>
      <c r="E115" s="3">
        <v>0</v>
      </c>
      <c r="F115" s="3"/>
      <c r="G115" s="3">
        <v>0</v>
      </c>
      <c r="H115" s="3"/>
      <c r="I115" s="3">
        <v>0</v>
      </c>
      <c r="J115" s="3"/>
      <c r="K115" s="3">
        <v>0</v>
      </c>
      <c r="L115" s="3"/>
      <c r="M115" s="3">
        <v>0</v>
      </c>
      <c r="N115" s="3"/>
      <c r="O115" s="3">
        <v>0</v>
      </c>
      <c r="P115" s="3"/>
      <c r="Q115" s="3">
        <v>0</v>
      </c>
      <c r="R115" s="3"/>
      <c r="S115" s="3">
        <v>0</v>
      </c>
      <c r="T115" s="3"/>
      <c r="U115" s="7">
        <f t="shared" si="7"/>
        <v>0</v>
      </c>
      <c r="V115" s="3"/>
      <c r="W115" s="3">
        <v>0</v>
      </c>
      <c r="X115" s="3"/>
      <c r="Y115" s="3"/>
      <c r="Z115" s="3"/>
      <c r="AA115" s="3">
        <v>0</v>
      </c>
      <c r="AB115" s="3"/>
      <c r="AC115" s="13" t="s">
        <v>330</v>
      </c>
      <c r="AD115" s="13"/>
      <c r="AE115" s="13" t="s">
        <v>189</v>
      </c>
      <c r="AF115" s="3"/>
      <c r="AG115" s="3">
        <v>0</v>
      </c>
      <c r="AH115" s="3"/>
      <c r="AI115" s="3">
        <v>0</v>
      </c>
      <c r="AJ115" s="3"/>
      <c r="AK115" s="3">
        <v>0</v>
      </c>
      <c r="AL115" s="3"/>
      <c r="AM115" s="3">
        <v>0</v>
      </c>
      <c r="AN115" s="3"/>
      <c r="AO115" s="3">
        <v>0</v>
      </c>
      <c r="AP115" s="3"/>
      <c r="AQ115" s="3">
        <v>0</v>
      </c>
      <c r="AR115" s="3"/>
      <c r="AS115" s="3">
        <f t="shared" si="11"/>
        <v>0</v>
      </c>
      <c r="AT115" s="3"/>
      <c r="AU115" s="3">
        <f t="shared" si="8"/>
        <v>0</v>
      </c>
    </row>
    <row r="116" spans="1:47">
      <c r="A116" s="3" t="s">
        <v>331</v>
      </c>
      <c r="B116" s="13"/>
      <c r="C116" s="13" t="s">
        <v>190</v>
      </c>
      <c r="E116" s="3">
        <v>0</v>
      </c>
      <c r="F116" s="3"/>
      <c r="G116" s="3">
        <f>24000+724258</f>
        <v>748258</v>
      </c>
      <c r="H116" s="3"/>
      <c r="I116" s="3">
        <v>10303</v>
      </c>
      <c r="J116" s="3"/>
      <c r="K116" s="3">
        <f>1853583+41061+176032</f>
        <v>2070676</v>
      </c>
      <c r="L116" s="3"/>
      <c r="M116" s="3">
        <v>0</v>
      </c>
      <c r="N116" s="3"/>
      <c r="O116" s="3">
        <v>0</v>
      </c>
      <c r="P116" s="3"/>
      <c r="Q116" s="3">
        <v>0</v>
      </c>
      <c r="R116" s="3"/>
      <c r="S116" s="3">
        <v>20163</v>
      </c>
      <c r="T116" s="3"/>
      <c r="U116" s="7">
        <f t="shared" si="7"/>
        <v>2849400</v>
      </c>
      <c r="V116" s="3"/>
      <c r="W116" s="3">
        <v>0</v>
      </c>
      <c r="X116" s="3"/>
      <c r="Y116" s="3"/>
      <c r="Z116" s="3"/>
      <c r="AA116" s="3">
        <v>0</v>
      </c>
      <c r="AB116" s="3"/>
      <c r="AC116" s="3" t="s">
        <v>331</v>
      </c>
      <c r="AD116" s="13"/>
      <c r="AE116" s="13" t="s">
        <v>190</v>
      </c>
      <c r="AF116" s="3"/>
      <c r="AG116" s="3">
        <v>0</v>
      </c>
      <c r="AH116" s="3"/>
      <c r="AI116" s="3">
        <v>62180</v>
      </c>
      <c r="AJ116" s="3"/>
      <c r="AK116" s="3">
        <v>0</v>
      </c>
      <c r="AL116" s="3"/>
      <c r="AM116" s="3">
        <v>0</v>
      </c>
      <c r="AN116" s="3"/>
      <c r="AO116" s="3">
        <v>0</v>
      </c>
      <c r="AP116" s="3"/>
      <c r="AQ116" s="3">
        <v>0</v>
      </c>
      <c r="AR116" s="3"/>
      <c r="AS116" s="3">
        <f t="shared" si="11"/>
        <v>62180</v>
      </c>
      <c r="AT116" s="3"/>
      <c r="AU116" s="3">
        <f t="shared" si="8"/>
        <v>2911580</v>
      </c>
    </row>
    <row r="117" spans="1:47">
      <c r="A117" s="3" t="s">
        <v>332</v>
      </c>
      <c r="B117" s="13"/>
      <c r="C117" s="13" t="s">
        <v>192</v>
      </c>
      <c r="E117" s="3">
        <v>0</v>
      </c>
      <c r="F117" s="3"/>
      <c r="G117" s="3">
        <v>1542505</v>
      </c>
      <c r="H117" s="3"/>
      <c r="I117" s="3">
        <v>14333</v>
      </c>
      <c r="J117" s="3"/>
      <c r="K117" s="3">
        <f>5141137+308079+35821</f>
        <v>5485037</v>
      </c>
      <c r="L117" s="3"/>
      <c r="M117" s="3">
        <v>0</v>
      </c>
      <c r="N117" s="3"/>
      <c r="O117" s="3">
        <v>0</v>
      </c>
      <c r="P117" s="3"/>
      <c r="Q117" s="3">
        <v>1200</v>
      </c>
      <c r="R117" s="3"/>
      <c r="S117" s="3">
        <v>146639</v>
      </c>
      <c r="T117" s="3"/>
      <c r="U117" s="7">
        <f t="shared" si="7"/>
        <v>7189714</v>
      </c>
      <c r="V117" s="3"/>
      <c r="W117" s="3">
        <v>0</v>
      </c>
      <c r="X117" s="3"/>
      <c r="Y117" s="3"/>
      <c r="Z117" s="3"/>
      <c r="AA117" s="3">
        <v>0</v>
      </c>
      <c r="AB117" s="3"/>
      <c r="AC117" s="3" t="s">
        <v>332</v>
      </c>
      <c r="AD117" s="13"/>
      <c r="AE117" s="13" t="s">
        <v>192</v>
      </c>
      <c r="AF117" s="3"/>
      <c r="AG117" s="3">
        <v>0</v>
      </c>
      <c r="AH117" s="3"/>
      <c r="AI117" s="3">
        <v>0</v>
      </c>
      <c r="AJ117" s="3"/>
      <c r="AK117" s="3">
        <v>0</v>
      </c>
      <c r="AL117" s="3"/>
      <c r="AM117" s="3">
        <v>0</v>
      </c>
      <c r="AN117" s="3"/>
      <c r="AO117" s="3">
        <v>0</v>
      </c>
      <c r="AP117" s="3"/>
      <c r="AQ117" s="3">
        <v>0</v>
      </c>
      <c r="AR117" s="3"/>
      <c r="AS117" s="3">
        <f t="shared" si="11"/>
        <v>0</v>
      </c>
      <c r="AT117" s="3"/>
      <c r="AU117" s="3">
        <f t="shared" si="8"/>
        <v>7189714</v>
      </c>
    </row>
    <row r="118" spans="1:47" hidden="1">
      <c r="A118" s="3" t="s">
        <v>306</v>
      </c>
      <c r="B118" s="13"/>
      <c r="C118" s="13" t="s">
        <v>193</v>
      </c>
      <c r="E118" s="3">
        <v>0</v>
      </c>
      <c r="F118" s="3"/>
      <c r="G118" s="3">
        <v>0</v>
      </c>
      <c r="H118" s="3"/>
      <c r="I118" s="3">
        <v>0</v>
      </c>
      <c r="J118" s="3"/>
      <c r="K118" s="3">
        <v>0</v>
      </c>
      <c r="L118" s="3"/>
      <c r="M118" s="3">
        <v>0</v>
      </c>
      <c r="N118" s="3"/>
      <c r="O118" s="3">
        <v>0</v>
      </c>
      <c r="P118" s="3"/>
      <c r="Q118" s="3">
        <v>0</v>
      </c>
      <c r="R118" s="3"/>
      <c r="S118" s="3">
        <v>0</v>
      </c>
      <c r="T118" s="3"/>
      <c r="U118" s="7">
        <f t="shared" si="7"/>
        <v>0</v>
      </c>
      <c r="V118" s="3"/>
      <c r="W118" s="3">
        <v>0</v>
      </c>
      <c r="X118" s="3"/>
      <c r="Y118" s="3"/>
      <c r="Z118" s="3"/>
      <c r="AA118" s="3">
        <v>0</v>
      </c>
      <c r="AB118" s="3"/>
      <c r="AC118" s="3" t="s">
        <v>306</v>
      </c>
      <c r="AD118" s="13"/>
      <c r="AE118" s="13" t="s">
        <v>193</v>
      </c>
      <c r="AF118" s="3"/>
      <c r="AG118" s="3">
        <v>0</v>
      </c>
      <c r="AH118" s="3"/>
      <c r="AI118" s="3">
        <v>0</v>
      </c>
      <c r="AJ118" s="3"/>
      <c r="AK118" s="3">
        <v>0</v>
      </c>
      <c r="AL118" s="3"/>
      <c r="AM118" s="3"/>
      <c r="AN118" s="3"/>
      <c r="AO118" s="3">
        <v>0</v>
      </c>
      <c r="AP118" s="3"/>
      <c r="AQ118" s="3">
        <v>0</v>
      </c>
      <c r="AR118" s="3"/>
      <c r="AS118" s="3">
        <f t="shared" si="11"/>
        <v>0</v>
      </c>
      <c r="AT118" s="3"/>
      <c r="AU118" s="3">
        <f t="shared" si="8"/>
        <v>0</v>
      </c>
    </row>
    <row r="119" spans="1:47" hidden="1">
      <c r="A119" s="3" t="s">
        <v>376</v>
      </c>
      <c r="B119" s="13"/>
      <c r="C119" s="13" t="s">
        <v>196</v>
      </c>
      <c r="E119" s="3">
        <v>0</v>
      </c>
      <c r="F119" s="3"/>
      <c r="G119" s="3">
        <v>0</v>
      </c>
      <c r="H119" s="3"/>
      <c r="I119" s="3">
        <v>0</v>
      </c>
      <c r="J119" s="3"/>
      <c r="K119" s="3">
        <v>0</v>
      </c>
      <c r="L119" s="3"/>
      <c r="M119" s="3">
        <v>0</v>
      </c>
      <c r="N119" s="3"/>
      <c r="O119" s="3">
        <v>0</v>
      </c>
      <c r="P119" s="3"/>
      <c r="Q119" s="3">
        <v>0</v>
      </c>
      <c r="R119" s="3"/>
      <c r="S119" s="3">
        <v>0</v>
      </c>
      <c r="T119" s="3"/>
      <c r="U119" s="7">
        <f t="shared" si="7"/>
        <v>0</v>
      </c>
      <c r="V119" s="3"/>
      <c r="W119" s="3">
        <v>0</v>
      </c>
      <c r="X119" s="3"/>
      <c r="Y119" s="3">
        <v>0</v>
      </c>
      <c r="Z119" s="3"/>
      <c r="AA119" s="3">
        <v>0</v>
      </c>
      <c r="AB119" s="3"/>
      <c r="AC119" s="3" t="s">
        <v>376</v>
      </c>
      <c r="AD119" s="13"/>
      <c r="AE119" s="13" t="s">
        <v>196</v>
      </c>
      <c r="AF119" s="3"/>
      <c r="AG119" s="3">
        <v>0</v>
      </c>
      <c r="AH119" s="3"/>
      <c r="AI119" s="3">
        <v>0</v>
      </c>
      <c r="AJ119" s="3"/>
      <c r="AK119" s="3">
        <v>0</v>
      </c>
      <c r="AL119" s="3"/>
      <c r="AM119" s="3">
        <v>0</v>
      </c>
      <c r="AN119" s="3"/>
      <c r="AO119" s="3">
        <v>0</v>
      </c>
      <c r="AP119" s="3"/>
      <c r="AQ119" s="3">
        <v>0</v>
      </c>
      <c r="AR119" s="3"/>
      <c r="AS119" s="3">
        <f t="shared" si="11"/>
        <v>0</v>
      </c>
      <c r="AT119" s="3"/>
      <c r="AU119" s="3">
        <f t="shared" si="8"/>
        <v>0</v>
      </c>
    </row>
    <row r="120" spans="1:47">
      <c r="A120" s="3" t="s">
        <v>266</v>
      </c>
      <c r="B120" s="13"/>
      <c r="C120" s="13" t="s">
        <v>194</v>
      </c>
      <c r="E120" s="3">
        <v>0</v>
      </c>
      <c r="F120" s="3"/>
      <c r="G120" s="3">
        <v>1227498</v>
      </c>
      <c r="H120" s="3"/>
      <c r="I120" s="3">
        <v>9764</v>
      </c>
      <c r="J120" s="3"/>
      <c r="K120" s="3">
        <f>5877010+1265275</f>
        <v>7142285</v>
      </c>
      <c r="L120" s="3"/>
      <c r="M120" s="3">
        <v>0</v>
      </c>
      <c r="N120" s="3"/>
      <c r="O120" s="3">
        <v>0</v>
      </c>
      <c r="P120" s="3"/>
      <c r="Q120" s="3">
        <v>26278</v>
      </c>
      <c r="R120" s="3"/>
      <c r="S120" s="3">
        <v>380</v>
      </c>
      <c r="T120" s="3"/>
      <c r="U120" s="7">
        <f t="shared" si="7"/>
        <v>8406205</v>
      </c>
      <c r="V120" s="3"/>
      <c r="W120" s="3">
        <v>0</v>
      </c>
      <c r="X120" s="3"/>
      <c r="Y120" s="3">
        <v>0</v>
      </c>
      <c r="Z120" s="3"/>
      <c r="AA120" s="3">
        <v>0</v>
      </c>
      <c r="AB120" s="3"/>
      <c r="AC120" s="3" t="s">
        <v>266</v>
      </c>
      <c r="AD120" s="13"/>
      <c r="AE120" s="13" t="s">
        <v>194</v>
      </c>
      <c r="AF120" s="3"/>
      <c r="AG120" s="3">
        <v>0</v>
      </c>
      <c r="AH120" s="3"/>
      <c r="AI120" s="3">
        <v>0</v>
      </c>
      <c r="AJ120" s="3"/>
      <c r="AK120" s="3">
        <v>0</v>
      </c>
      <c r="AL120" s="3"/>
      <c r="AM120" s="3">
        <v>0</v>
      </c>
      <c r="AN120" s="3"/>
      <c r="AO120" s="3">
        <v>0</v>
      </c>
      <c r="AP120" s="3"/>
      <c r="AQ120" s="3">
        <v>0</v>
      </c>
      <c r="AR120" s="3"/>
      <c r="AS120" s="3">
        <f t="shared" si="11"/>
        <v>0</v>
      </c>
      <c r="AT120" s="3"/>
      <c r="AU120" s="3">
        <f t="shared" si="8"/>
        <v>8406205</v>
      </c>
    </row>
    <row r="121" spans="1:47">
      <c r="A121" s="3" t="s">
        <v>265</v>
      </c>
      <c r="B121" s="3"/>
      <c r="C121" s="3" t="s">
        <v>157</v>
      </c>
      <c r="E121" s="3">
        <v>0</v>
      </c>
      <c r="F121" s="3"/>
      <c r="G121" s="3">
        <v>1070735</v>
      </c>
      <c r="H121" s="3"/>
      <c r="I121" s="3">
        <v>101920</v>
      </c>
      <c r="J121" s="3"/>
      <c r="K121" s="3">
        <f>2006215+187581</f>
        <v>2193796</v>
      </c>
      <c r="L121" s="3"/>
      <c r="M121" s="3">
        <v>0</v>
      </c>
      <c r="N121" s="3"/>
      <c r="O121" s="3">
        <v>0</v>
      </c>
      <c r="P121" s="3"/>
      <c r="Q121" s="3">
        <v>0</v>
      </c>
      <c r="R121" s="3"/>
      <c r="S121" s="3">
        <v>61507</v>
      </c>
      <c r="T121" s="3"/>
      <c r="U121" s="7">
        <f>SUM(E121:T121)</f>
        <v>3427958</v>
      </c>
      <c r="V121" s="3"/>
      <c r="W121" s="3">
        <v>233917</v>
      </c>
      <c r="X121" s="3"/>
      <c r="Y121" s="3">
        <v>0</v>
      </c>
      <c r="Z121" s="3"/>
      <c r="AA121" s="3">
        <v>0</v>
      </c>
      <c r="AB121" s="3"/>
      <c r="AC121" s="3" t="s">
        <v>265</v>
      </c>
      <c r="AD121" s="3"/>
      <c r="AE121" s="3" t="s">
        <v>157</v>
      </c>
      <c r="AF121" s="3"/>
      <c r="AG121" s="3">
        <v>0</v>
      </c>
      <c r="AH121" s="3"/>
      <c r="AI121" s="3">
        <v>0</v>
      </c>
      <c r="AJ121" s="3"/>
      <c r="AK121" s="3">
        <v>0</v>
      </c>
      <c r="AL121" s="3"/>
      <c r="AM121" s="3">
        <v>0</v>
      </c>
      <c r="AN121" s="3"/>
      <c r="AO121" s="3">
        <v>0</v>
      </c>
      <c r="AP121" s="3"/>
      <c r="AQ121" s="3">
        <v>0</v>
      </c>
      <c r="AR121" s="3"/>
      <c r="AS121" s="3">
        <f t="shared" si="11"/>
        <v>233917</v>
      </c>
      <c r="AT121" s="3"/>
      <c r="AU121" s="3">
        <f t="shared" si="8"/>
        <v>3661875</v>
      </c>
    </row>
    <row r="122" spans="1:47">
      <c r="A122" s="13" t="s">
        <v>336</v>
      </c>
      <c r="B122" s="13"/>
      <c r="C122" s="13" t="s">
        <v>197</v>
      </c>
      <c r="E122" s="3">
        <v>0</v>
      </c>
      <c r="F122" s="3"/>
      <c r="G122" s="3">
        <f>3060698+32115</f>
        <v>3092813</v>
      </c>
      <c r="H122" s="3"/>
      <c r="I122" s="3">
        <v>23711</v>
      </c>
      <c r="J122" s="3"/>
      <c r="K122" s="3">
        <f>8146418+1693+4984061+26598</f>
        <v>13158770</v>
      </c>
      <c r="L122" s="3"/>
      <c r="M122" s="3">
        <v>0</v>
      </c>
      <c r="N122" s="3"/>
      <c r="O122" s="3">
        <v>0</v>
      </c>
      <c r="P122" s="3"/>
      <c r="Q122" s="3">
        <v>18894</v>
      </c>
      <c r="R122" s="3"/>
      <c r="S122" s="3">
        <v>164876</v>
      </c>
      <c r="T122" s="3"/>
      <c r="U122" s="7">
        <f t="shared" si="7"/>
        <v>16459064</v>
      </c>
      <c r="V122" s="3"/>
      <c r="W122" s="3">
        <v>0</v>
      </c>
      <c r="X122" s="3"/>
      <c r="Y122" s="3">
        <v>0</v>
      </c>
      <c r="Z122" s="3"/>
      <c r="AA122" s="3">
        <v>0</v>
      </c>
      <c r="AB122" s="3"/>
      <c r="AC122" s="13" t="s">
        <v>336</v>
      </c>
      <c r="AD122" s="13"/>
      <c r="AE122" s="13" t="s">
        <v>197</v>
      </c>
      <c r="AF122" s="3"/>
      <c r="AG122" s="3">
        <v>0</v>
      </c>
      <c r="AH122" s="3"/>
      <c r="AI122" s="3">
        <v>0</v>
      </c>
      <c r="AJ122" s="3"/>
      <c r="AK122" s="3">
        <v>110</v>
      </c>
      <c r="AL122" s="3"/>
      <c r="AM122" s="3">
        <v>0</v>
      </c>
      <c r="AN122" s="3"/>
      <c r="AO122" s="3">
        <v>0</v>
      </c>
      <c r="AP122" s="3"/>
      <c r="AQ122" s="3">
        <v>0</v>
      </c>
      <c r="AR122" s="3"/>
      <c r="AS122" s="3">
        <f t="shared" si="11"/>
        <v>110</v>
      </c>
      <c r="AT122" s="3"/>
      <c r="AU122" s="3">
        <f t="shared" si="8"/>
        <v>16459174</v>
      </c>
    </row>
    <row r="123" spans="1:47">
      <c r="A123" s="3" t="s">
        <v>337</v>
      </c>
      <c r="B123" s="13"/>
      <c r="C123" s="13" t="s">
        <v>198</v>
      </c>
      <c r="E123" s="3">
        <v>0</v>
      </c>
      <c r="F123" s="3"/>
      <c r="G123" s="3">
        <v>2478154</v>
      </c>
      <c r="H123" s="3"/>
      <c r="I123" s="3">
        <v>6361</v>
      </c>
      <c r="J123" s="3"/>
      <c r="K123" s="3">
        <f>1608558+8352274</f>
        <v>9960832</v>
      </c>
      <c r="L123" s="3"/>
      <c r="M123" s="3">
        <v>0</v>
      </c>
      <c r="N123" s="3"/>
      <c r="O123" s="3">
        <v>0</v>
      </c>
      <c r="P123" s="3"/>
      <c r="Q123" s="3">
        <v>0</v>
      </c>
      <c r="R123" s="3"/>
      <c r="S123" s="3">
        <v>0</v>
      </c>
      <c r="T123" s="3"/>
      <c r="U123" s="7">
        <f t="shared" si="7"/>
        <v>12445347</v>
      </c>
      <c r="V123" s="3"/>
      <c r="W123" s="3">
        <v>0</v>
      </c>
      <c r="X123" s="3"/>
      <c r="Y123" s="3">
        <v>0</v>
      </c>
      <c r="Z123" s="3"/>
      <c r="AA123" s="3">
        <v>0</v>
      </c>
      <c r="AB123" s="3"/>
      <c r="AC123" s="3" t="s">
        <v>337</v>
      </c>
      <c r="AD123" s="13"/>
      <c r="AE123" s="13" t="s">
        <v>198</v>
      </c>
      <c r="AF123" s="3"/>
      <c r="AG123" s="3">
        <v>0</v>
      </c>
      <c r="AH123" s="3"/>
      <c r="AI123" s="3">
        <v>0</v>
      </c>
      <c r="AJ123" s="3"/>
      <c r="AK123" s="3">
        <v>0</v>
      </c>
      <c r="AL123" s="3"/>
      <c r="AM123" s="3">
        <v>0</v>
      </c>
      <c r="AN123" s="3"/>
      <c r="AO123" s="3">
        <v>0</v>
      </c>
      <c r="AP123" s="3"/>
      <c r="AQ123" s="3">
        <v>0</v>
      </c>
      <c r="AR123" s="3"/>
      <c r="AS123" s="3">
        <f t="shared" si="11"/>
        <v>0</v>
      </c>
      <c r="AT123" s="3"/>
      <c r="AU123" s="3">
        <f t="shared" si="8"/>
        <v>12445347</v>
      </c>
    </row>
    <row r="124" spans="1:47" hidden="1">
      <c r="A124" s="3" t="s">
        <v>362</v>
      </c>
      <c r="B124" s="13"/>
      <c r="C124" s="13" t="s">
        <v>205</v>
      </c>
      <c r="E124" s="3">
        <v>0</v>
      </c>
      <c r="F124" s="3"/>
      <c r="G124" s="3">
        <v>0</v>
      </c>
      <c r="H124" s="3"/>
      <c r="I124" s="3">
        <v>0</v>
      </c>
      <c r="J124" s="3"/>
      <c r="K124" s="3">
        <v>0</v>
      </c>
      <c r="L124" s="3"/>
      <c r="M124" s="3">
        <v>0</v>
      </c>
      <c r="N124" s="3"/>
      <c r="O124" s="3">
        <v>0</v>
      </c>
      <c r="P124" s="3"/>
      <c r="Q124" s="3">
        <v>0</v>
      </c>
      <c r="R124" s="3"/>
      <c r="S124" s="3">
        <v>0</v>
      </c>
      <c r="T124" s="3"/>
      <c r="U124" s="7">
        <f t="shared" si="7"/>
        <v>0</v>
      </c>
      <c r="V124" s="3"/>
      <c r="W124" s="3">
        <v>0</v>
      </c>
      <c r="X124" s="3"/>
      <c r="Y124" s="3">
        <v>0</v>
      </c>
      <c r="Z124" s="3"/>
      <c r="AA124" s="3">
        <v>0</v>
      </c>
      <c r="AB124" s="3"/>
      <c r="AC124" s="3" t="s">
        <v>362</v>
      </c>
      <c r="AD124" s="13"/>
      <c r="AE124" s="13" t="s">
        <v>205</v>
      </c>
      <c r="AF124" s="3"/>
      <c r="AG124" s="3">
        <v>0</v>
      </c>
      <c r="AH124" s="3"/>
      <c r="AI124" s="3">
        <v>0</v>
      </c>
      <c r="AJ124" s="3"/>
      <c r="AK124" s="3">
        <v>0</v>
      </c>
      <c r="AL124" s="3"/>
      <c r="AM124" s="3">
        <v>0</v>
      </c>
      <c r="AN124" s="3"/>
      <c r="AO124" s="3">
        <v>0</v>
      </c>
      <c r="AP124" s="3"/>
      <c r="AQ124" s="3">
        <v>0</v>
      </c>
      <c r="AR124" s="3"/>
      <c r="AS124" s="3">
        <f t="shared" si="11"/>
        <v>0</v>
      </c>
      <c r="AT124" s="3"/>
      <c r="AU124" s="3">
        <f t="shared" si="8"/>
        <v>0</v>
      </c>
    </row>
    <row r="125" spans="1:47">
      <c r="A125" s="3" t="s">
        <v>339</v>
      </c>
      <c r="B125" s="13"/>
      <c r="C125" s="13" t="s">
        <v>199</v>
      </c>
      <c r="E125" s="3">
        <v>0</v>
      </c>
      <c r="F125" s="3"/>
      <c r="G125" s="3">
        <f>1966801+2800</f>
        <v>1969601</v>
      </c>
      <c r="H125" s="3"/>
      <c r="I125" s="3">
        <v>63132</v>
      </c>
      <c r="J125" s="3"/>
      <c r="K125" s="3">
        <f>14293650+23425</f>
        <v>14317075</v>
      </c>
      <c r="L125" s="3"/>
      <c r="M125" s="3">
        <v>0</v>
      </c>
      <c r="N125" s="3"/>
      <c r="O125" s="3">
        <v>0</v>
      </c>
      <c r="P125" s="3"/>
      <c r="Q125" s="3">
        <v>15387</v>
      </c>
      <c r="R125" s="3"/>
      <c r="S125" s="3">
        <v>19720</v>
      </c>
      <c r="T125" s="3"/>
      <c r="U125" s="7">
        <f t="shared" si="7"/>
        <v>16384915</v>
      </c>
      <c r="V125" s="3"/>
      <c r="W125" s="3">
        <v>0</v>
      </c>
      <c r="X125" s="3"/>
      <c r="Y125" s="3">
        <v>0</v>
      </c>
      <c r="Z125" s="3"/>
      <c r="AA125" s="3">
        <v>0</v>
      </c>
      <c r="AB125" s="3"/>
      <c r="AC125" s="3" t="s">
        <v>339</v>
      </c>
      <c r="AD125" s="13"/>
      <c r="AE125" s="13" t="s">
        <v>199</v>
      </c>
      <c r="AF125" s="3"/>
      <c r="AG125" s="3">
        <v>0</v>
      </c>
      <c r="AH125" s="3"/>
      <c r="AI125" s="3">
        <v>0</v>
      </c>
      <c r="AJ125" s="3"/>
      <c r="AK125" s="3">
        <v>0</v>
      </c>
      <c r="AL125" s="3"/>
      <c r="AM125" s="3">
        <v>0</v>
      </c>
      <c r="AN125" s="3"/>
      <c r="AO125" s="3">
        <v>0</v>
      </c>
      <c r="AP125" s="3"/>
      <c r="AQ125" s="3">
        <v>0</v>
      </c>
      <c r="AR125" s="3"/>
      <c r="AS125" s="3">
        <f t="shared" si="11"/>
        <v>0</v>
      </c>
      <c r="AT125" s="3"/>
      <c r="AU125" s="3">
        <f t="shared" si="8"/>
        <v>16384915</v>
      </c>
    </row>
    <row r="126" spans="1:47" hidden="1">
      <c r="A126" s="3" t="s">
        <v>307</v>
      </c>
      <c r="B126" s="13"/>
      <c r="C126" s="13" t="s">
        <v>200</v>
      </c>
      <c r="E126" s="3">
        <v>0</v>
      </c>
      <c r="F126" s="3"/>
      <c r="G126" s="3">
        <v>0</v>
      </c>
      <c r="H126" s="3"/>
      <c r="I126" s="3">
        <v>0</v>
      </c>
      <c r="J126" s="3"/>
      <c r="K126" s="3">
        <v>0</v>
      </c>
      <c r="L126" s="3"/>
      <c r="M126" s="3">
        <v>0</v>
      </c>
      <c r="N126" s="3"/>
      <c r="O126" s="3">
        <v>0</v>
      </c>
      <c r="P126" s="3"/>
      <c r="Q126" s="3">
        <v>0</v>
      </c>
      <c r="R126" s="3"/>
      <c r="S126" s="3">
        <v>0</v>
      </c>
      <c r="T126" s="3"/>
      <c r="U126" s="7">
        <f t="shared" si="7"/>
        <v>0</v>
      </c>
      <c r="V126" s="3"/>
      <c r="W126" s="3">
        <v>0</v>
      </c>
      <c r="X126" s="3"/>
      <c r="Y126" s="3"/>
      <c r="Z126" s="3"/>
      <c r="AA126" s="3">
        <v>0</v>
      </c>
      <c r="AB126" s="3"/>
      <c r="AC126" s="3" t="s">
        <v>307</v>
      </c>
      <c r="AD126" s="13"/>
      <c r="AE126" s="13" t="s">
        <v>200</v>
      </c>
      <c r="AF126" s="3"/>
      <c r="AG126" s="3"/>
      <c r="AH126" s="3"/>
      <c r="AI126" s="3">
        <v>0</v>
      </c>
      <c r="AJ126" s="3"/>
      <c r="AK126" s="3">
        <v>0</v>
      </c>
      <c r="AL126" s="3"/>
      <c r="AM126" s="3">
        <v>0</v>
      </c>
      <c r="AN126" s="3"/>
      <c r="AO126" s="3">
        <v>0</v>
      </c>
      <c r="AP126" s="3"/>
      <c r="AQ126" s="3">
        <v>0</v>
      </c>
      <c r="AR126" s="3"/>
      <c r="AS126" s="3">
        <f t="shared" si="11"/>
        <v>0</v>
      </c>
      <c r="AT126" s="3"/>
      <c r="AU126" s="3">
        <f t="shared" si="8"/>
        <v>0</v>
      </c>
    </row>
    <row r="127" spans="1:47" hidden="1">
      <c r="A127" s="3" t="s">
        <v>341</v>
      </c>
      <c r="B127" s="13"/>
      <c r="C127" s="13" t="s">
        <v>203</v>
      </c>
      <c r="E127" s="3">
        <v>0</v>
      </c>
      <c r="F127" s="3"/>
      <c r="G127" s="3">
        <v>0</v>
      </c>
      <c r="H127" s="3"/>
      <c r="I127" s="3">
        <v>0</v>
      </c>
      <c r="J127" s="3"/>
      <c r="K127" s="3">
        <v>0</v>
      </c>
      <c r="L127" s="3"/>
      <c r="M127" s="3">
        <v>0</v>
      </c>
      <c r="N127" s="3"/>
      <c r="O127" s="3">
        <v>0</v>
      </c>
      <c r="P127" s="3"/>
      <c r="Q127" s="3">
        <v>0</v>
      </c>
      <c r="R127" s="3"/>
      <c r="S127" s="3">
        <v>0</v>
      </c>
      <c r="T127" s="3"/>
      <c r="U127" s="7">
        <f t="shared" si="7"/>
        <v>0</v>
      </c>
      <c r="V127" s="3"/>
      <c r="W127" s="3">
        <v>0</v>
      </c>
      <c r="X127" s="3"/>
      <c r="Y127" s="3"/>
      <c r="Z127" s="3"/>
      <c r="AA127" s="3">
        <v>0</v>
      </c>
      <c r="AB127" s="3"/>
      <c r="AC127" s="3" t="s">
        <v>341</v>
      </c>
      <c r="AD127" s="13"/>
      <c r="AE127" s="13" t="s">
        <v>203</v>
      </c>
      <c r="AF127" s="3"/>
      <c r="AG127" s="3"/>
      <c r="AH127" s="3"/>
      <c r="AI127" s="3">
        <v>0</v>
      </c>
      <c r="AJ127" s="3"/>
      <c r="AK127" s="3">
        <v>0</v>
      </c>
      <c r="AL127" s="3"/>
      <c r="AM127" s="3">
        <v>0</v>
      </c>
      <c r="AN127" s="3"/>
      <c r="AO127" s="3">
        <v>0</v>
      </c>
      <c r="AP127" s="3"/>
      <c r="AQ127" s="3">
        <v>0</v>
      </c>
      <c r="AR127" s="3"/>
      <c r="AS127" s="3">
        <f t="shared" si="11"/>
        <v>0</v>
      </c>
      <c r="AT127" s="3"/>
      <c r="AU127" s="3">
        <f t="shared" si="8"/>
        <v>0</v>
      </c>
    </row>
    <row r="128" spans="1:47" hidden="1">
      <c r="A128" s="3" t="s">
        <v>308</v>
      </c>
      <c r="B128" s="13"/>
      <c r="C128" s="13" t="s">
        <v>204</v>
      </c>
      <c r="E128" s="3">
        <v>0</v>
      </c>
      <c r="F128" s="3"/>
      <c r="G128" s="3">
        <v>0</v>
      </c>
      <c r="H128" s="27"/>
      <c r="I128" s="3">
        <v>0</v>
      </c>
      <c r="J128" s="27"/>
      <c r="K128" s="3">
        <v>0</v>
      </c>
      <c r="L128" s="27"/>
      <c r="M128" s="3">
        <v>0</v>
      </c>
      <c r="N128" s="27"/>
      <c r="O128" s="3">
        <v>0</v>
      </c>
      <c r="P128" s="27"/>
      <c r="Q128" s="3">
        <v>0</v>
      </c>
      <c r="R128" s="27"/>
      <c r="S128" s="3">
        <v>0</v>
      </c>
      <c r="T128" s="3"/>
      <c r="U128" s="7">
        <f t="shared" si="7"/>
        <v>0</v>
      </c>
      <c r="V128" s="3"/>
      <c r="W128" s="3">
        <v>0</v>
      </c>
      <c r="X128" s="3"/>
      <c r="Y128" s="3"/>
      <c r="Z128" s="3"/>
      <c r="AA128" s="3">
        <v>0</v>
      </c>
      <c r="AB128" s="3"/>
      <c r="AC128" s="3" t="s">
        <v>308</v>
      </c>
      <c r="AD128" s="13"/>
      <c r="AE128" s="13" t="s">
        <v>204</v>
      </c>
      <c r="AF128" s="3"/>
      <c r="AG128" s="3"/>
      <c r="AH128" s="3"/>
      <c r="AI128" s="3">
        <v>0</v>
      </c>
      <c r="AJ128" s="3"/>
      <c r="AK128" s="3">
        <v>0</v>
      </c>
      <c r="AL128" s="3"/>
      <c r="AM128" s="3">
        <v>0</v>
      </c>
      <c r="AN128" s="3"/>
      <c r="AO128" s="3">
        <v>0</v>
      </c>
      <c r="AP128" s="3"/>
      <c r="AQ128" s="3">
        <v>0</v>
      </c>
      <c r="AR128" s="3"/>
      <c r="AS128" s="3">
        <f t="shared" si="11"/>
        <v>0</v>
      </c>
      <c r="AT128" s="3"/>
      <c r="AU128" s="3">
        <f t="shared" si="8"/>
        <v>0</v>
      </c>
    </row>
    <row r="129" spans="1:47">
      <c r="A129" s="3" t="s">
        <v>201</v>
      </c>
      <c r="B129" s="13"/>
      <c r="C129" s="13" t="s">
        <v>261</v>
      </c>
      <c r="E129" s="3">
        <v>0</v>
      </c>
      <c r="F129" s="3"/>
      <c r="G129" s="3">
        <v>918451</v>
      </c>
      <c r="H129" s="3"/>
      <c r="I129" s="3">
        <v>1534</v>
      </c>
      <c r="J129" s="3"/>
      <c r="K129" s="3">
        <f>319554+2675899</f>
        <v>2995453</v>
      </c>
      <c r="L129" s="3"/>
      <c r="M129" s="3">
        <v>0</v>
      </c>
      <c r="N129" s="3"/>
      <c r="O129" s="3">
        <v>0</v>
      </c>
      <c r="P129" s="3"/>
      <c r="Q129" s="3">
        <v>0</v>
      </c>
      <c r="R129" s="3"/>
      <c r="S129" s="3">
        <v>537</v>
      </c>
      <c r="T129" s="3"/>
      <c r="U129" s="7">
        <f>SUM(E129:T129)</f>
        <v>3915975</v>
      </c>
      <c r="V129" s="3"/>
      <c r="W129" s="3">
        <v>0</v>
      </c>
      <c r="X129" s="3"/>
      <c r="Y129" s="3">
        <v>0</v>
      </c>
      <c r="Z129" s="3"/>
      <c r="AA129" s="3">
        <v>0</v>
      </c>
      <c r="AB129" s="3"/>
      <c r="AC129" s="3" t="s">
        <v>201</v>
      </c>
      <c r="AD129" s="13"/>
      <c r="AE129" s="13" t="s">
        <v>261</v>
      </c>
      <c r="AF129" s="3"/>
      <c r="AG129" s="3">
        <v>0</v>
      </c>
      <c r="AH129" s="3"/>
      <c r="AI129" s="3">
        <v>0</v>
      </c>
      <c r="AJ129" s="3"/>
      <c r="AK129" s="3">
        <v>106569</v>
      </c>
      <c r="AL129" s="3"/>
      <c r="AM129" s="3">
        <v>0</v>
      </c>
      <c r="AN129" s="3"/>
      <c r="AO129" s="3">
        <v>0</v>
      </c>
      <c r="AP129" s="3"/>
      <c r="AQ129" s="3">
        <v>0</v>
      </c>
      <c r="AR129" s="3"/>
      <c r="AS129" s="3">
        <f t="shared" si="11"/>
        <v>106569</v>
      </c>
      <c r="AT129" s="3"/>
      <c r="AU129" s="3">
        <f t="shared" si="8"/>
        <v>4022544</v>
      </c>
    </row>
    <row r="130" spans="1:47">
      <c r="A130" s="3" t="s">
        <v>340</v>
      </c>
      <c r="B130" s="13"/>
      <c r="C130" s="13" t="s">
        <v>206</v>
      </c>
      <c r="E130" s="3">
        <v>0</v>
      </c>
      <c r="F130" s="3"/>
      <c r="G130" s="3">
        <v>1408203</v>
      </c>
      <c r="H130" s="3"/>
      <c r="I130" s="3">
        <v>34058</v>
      </c>
      <c r="J130" s="3"/>
      <c r="K130" s="3">
        <f>576324+7666278</f>
        <v>8242602</v>
      </c>
      <c r="L130" s="3"/>
      <c r="M130" s="3">
        <v>0</v>
      </c>
      <c r="N130" s="3"/>
      <c r="O130" s="3">
        <v>0</v>
      </c>
      <c r="P130" s="3"/>
      <c r="Q130" s="3">
        <v>3400</v>
      </c>
      <c r="R130" s="3"/>
      <c r="S130" s="3">
        <v>74087</v>
      </c>
      <c r="T130" s="3"/>
      <c r="U130" s="7">
        <f t="shared" si="7"/>
        <v>9762350</v>
      </c>
      <c r="V130" s="3"/>
      <c r="W130" s="3">
        <v>0</v>
      </c>
      <c r="X130" s="3"/>
      <c r="Y130" s="3">
        <v>0</v>
      </c>
      <c r="Z130" s="3"/>
      <c r="AA130" s="3">
        <v>0</v>
      </c>
      <c r="AB130" s="3"/>
      <c r="AC130" s="3" t="s">
        <v>340</v>
      </c>
      <c r="AD130" s="13"/>
      <c r="AE130" s="13" t="s">
        <v>206</v>
      </c>
      <c r="AF130" s="3"/>
      <c r="AG130" s="3">
        <v>0</v>
      </c>
      <c r="AH130" s="3"/>
      <c r="AI130" s="3">
        <v>0</v>
      </c>
      <c r="AJ130" s="3"/>
      <c r="AK130" s="3">
        <v>5700</v>
      </c>
      <c r="AL130" s="3"/>
      <c r="AM130" s="3">
        <v>0</v>
      </c>
      <c r="AN130" s="3"/>
      <c r="AO130" s="3">
        <v>0</v>
      </c>
      <c r="AP130" s="3"/>
      <c r="AQ130" s="3">
        <v>0</v>
      </c>
      <c r="AR130" s="3"/>
      <c r="AS130" s="3">
        <f t="shared" si="11"/>
        <v>5700</v>
      </c>
      <c r="AT130" s="3"/>
      <c r="AU130" s="3">
        <f t="shared" si="8"/>
        <v>9768050</v>
      </c>
    </row>
    <row r="131" spans="1:47">
      <c r="A131" s="13"/>
      <c r="B131" s="13"/>
      <c r="C131" s="1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7"/>
      <c r="V131" s="3"/>
      <c r="W131" s="3"/>
      <c r="X131" s="3"/>
      <c r="Y131" s="3"/>
      <c r="Z131" s="3"/>
      <c r="AA131" s="3"/>
      <c r="AB131" s="3"/>
      <c r="AC131" s="13"/>
      <c r="AD131" s="13"/>
      <c r="AE131" s="1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>
      <c r="Y132" s="30" t="s">
        <v>257</v>
      </c>
      <c r="Z132" s="30"/>
      <c r="AA132" s="14" t="s">
        <v>257</v>
      </c>
    </row>
    <row r="134" spans="1:47">
      <c r="A134" s="72"/>
      <c r="B134" s="72"/>
      <c r="C134" s="72"/>
      <c r="D134" s="72"/>
      <c r="E134" s="72"/>
      <c r="F134" s="72"/>
    </row>
  </sheetData>
  <mergeCells count="2">
    <mergeCell ref="A134:F134"/>
    <mergeCell ref="A65:F65"/>
  </mergeCells>
  <phoneticPr fontId="3" type="noConversion"/>
  <pageMargins left="0.9" right="0.75" top="0.5" bottom="0.5" header="0.25" footer="0.25"/>
  <pageSetup scale="80" firstPageNumber="28" pageOrder="overThenDown" orientation="portrait" useFirstPageNumber="1" r:id="rId1"/>
  <headerFooter scaleWithDoc="0" alignWithMargins="0"/>
  <rowBreaks count="1" manualBreakCount="1">
    <brk id="66" max="48" man="1"/>
  </rowBreaks>
  <colBreaks count="3" manualBreakCount="3">
    <brk id="11" max="1048575" man="1"/>
    <brk id="28" max="1048575" man="1"/>
    <brk id="42" max="1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06"/>
  <sheetViews>
    <sheetView view="pageBreakPreview" zoomScaleNormal="100" zoomScaleSheetLayoutView="100" workbookViewId="0">
      <pane xSplit="4" ySplit="11" topLeftCell="E12" activePane="bottomRight" state="frozen"/>
      <selection activeCell="M146" sqref="M146"/>
      <selection pane="topRight" activeCell="M146" sqref="M146"/>
      <selection pane="bottomLeft" activeCell="M146" sqref="M146"/>
      <selection pane="bottomRight" activeCell="A7" sqref="A7"/>
    </sheetView>
  </sheetViews>
  <sheetFormatPr defaultRowHeight="12"/>
  <cols>
    <col min="1" max="1" width="40.7109375" style="24" customWidth="1"/>
    <col min="2" max="2" width="1.7109375" style="24" customWidth="1"/>
    <col min="3" max="3" width="11.7109375" style="24" customWidth="1"/>
    <col min="4" max="4" width="1.7109375" style="24" customWidth="1"/>
    <col min="5" max="5" width="11.7109375" style="24" customWidth="1"/>
    <col min="6" max="6" width="1.28515625" style="24" customWidth="1"/>
    <col min="7" max="7" width="11.7109375" style="24" customWidth="1"/>
    <col min="8" max="8" width="1.28515625" style="24" customWidth="1"/>
    <col min="9" max="9" width="11.7109375" style="24" customWidth="1"/>
    <col min="10" max="10" width="1.28515625" style="24" customWidth="1"/>
    <col min="11" max="11" width="12.7109375" style="51" customWidth="1"/>
    <col min="12" max="12" width="1.28515625" style="24" customWidth="1"/>
    <col min="13" max="13" width="11.7109375" style="24" customWidth="1"/>
    <col min="14" max="14" width="1.28515625" style="24" customWidth="1"/>
    <col min="15" max="15" width="11.7109375" style="24" customWidth="1"/>
    <col min="16" max="16" width="1.28515625" style="24" customWidth="1"/>
    <col min="17" max="17" width="11.7109375" style="24" customWidth="1"/>
    <col min="18" max="18" width="1.28515625" style="24" customWidth="1"/>
    <col min="19" max="19" width="11.7109375" style="24" customWidth="1"/>
    <col min="20" max="20" width="1.28515625" style="24" customWidth="1"/>
    <col min="21" max="21" width="11.7109375" style="24" customWidth="1"/>
    <col min="22" max="22" width="1.28515625" style="24" customWidth="1"/>
    <col min="23" max="23" width="11.7109375" style="24" customWidth="1"/>
    <col min="24" max="24" width="1.28515625" style="24" customWidth="1"/>
    <col min="25" max="25" width="11.7109375" style="24" customWidth="1"/>
    <col min="26" max="26" width="1.28515625" style="24" customWidth="1"/>
    <col min="27" max="27" width="11.7109375" style="24" customWidth="1"/>
    <col min="28" max="28" width="40.7109375" style="24" customWidth="1"/>
    <col min="29" max="29" width="1.28515625" style="24" customWidth="1"/>
    <col min="30" max="30" width="10.7109375" style="24" customWidth="1"/>
    <col min="31" max="31" width="1.28515625" style="24" customWidth="1"/>
    <col min="32" max="32" width="11.42578125" style="24" bestFit="1" customWidth="1"/>
    <col min="33" max="33" width="1.28515625" style="24" customWidth="1"/>
    <col min="34" max="34" width="10.28515625" style="24" customWidth="1"/>
    <col min="35" max="35" width="1.7109375" style="24" hidden="1" customWidth="1"/>
    <col min="36" max="36" width="10" style="24" hidden="1" customWidth="1"/>
    <col min="37" max="37" width="1.28515625" style="24" customWidth="1"/>
    <col min="38" max="38" width="11" style="24" customWidth="1"/>
    <col min="39" max="39" width="1.28515625" style="24" customWidth="1"/>
    <col min="40" max="40" width="11.140625" style="24" customWidth="1"/>
    <col min="41" max="41" width="1.28515625" style="24" customWidth="1"/>
    <col min="42" max="42" width="11.7109375" style="24" customWidth="1"/>
    <col min="43" max="43" width="1.28515625" style="24" customWidth="1"/>
    <col min="44" max="44" width="11.7109375" style="24" customWidth="1"/>
    <col min="45" max="45" width="1.7109375" style="24" hidden="1" customWidth="1"/>
    <col min="46" max="46" width="11.7109375" style="24" hidden="1" customWidth="1"/>
    <col min="47" max="47" width="1.28515625" style="24" customWidth="1"/>
    <col min="48" max="48" width="11.7109375" style="24" customWidth="1"/>
    <col min="49" max="49" width="1.28515625" style="24" customWidth="1"/>
    <col min="50" max="50" width="11.7109375" style="24" customWidth="1"/>
    <col min="51" max="51" width="1.28515625" style="24" customWidth="1"/>
    <col min="52" max="52" width="11.7109375" style="24" customWidth="1"/>
    <col min="53" max="53" width="1.28515625" style="24" customWidth="1"/>
    <col min="54" max="54" width="11.7109375" style="24" customWidth="1"/>
    <col min="55" max="55" width="1.7109375" style="24" hidden="1" customWidth="1"/>
    <col min="56" max="56" width="10.7109375" style="24" hidden="1" customWidth="1"/>
    <col min="57" max="57" width="1.7109375" style="24" hidden="1" customWidth="1"/>
    <col min="58" max="58" width="11.7109375" style="24" hidden="1" customWidth="1"/>
    <col min="59" max="59" width="1.28515625" style="24" customWidth="1"/>
    <col min="60" max="60" width="10.7109375" style="24" customWidth="1"/>
    <col min="61" max="61" width="40.7109375" style="24" customWidth="1"/>
    <col min="62" max="62" width="1.28515625" style="24" customWidth="1"/>
    <col min="63" max="63" width="10.7109375" style="24" customWidth="1"/>
    <col min="64" max="64" width="1.28515625" style="24" customWidth="1"/>
    <col min="65" max="65" width="11.7109375" style="24" customWidth="1"/>
    <col min="66" max="66" width="1.28515625" style="24" customWidth="1"/>
    <col min="67" max="67" width="11.7109375" style="24" customWidth="1"/>
    <col min="68" max="68" width="1.28515625" style="24" customWidth="1"/>
    <col min="69" max="69" width="11.7109375" style="24" customWidth="1"/>
    <col min="70" max="70" width="1.28515625" style="24" customWidth="1"/>
    <col min="71" max="71" width="13.140625" style="24" customWidth="1"/>
    <col min="72" max="72" width="1.28515625" style="24" customWidth="1"/>
    <col min="73" max="73" width="11.7109375" style="24" customWidth="1"/>
    <col min="74" max="74" width="1.7109375" style="24" hidden="1" customWidth="1"/>
    <col min="75" max="75" width="11.7109375" style="24" hidden="1" customWidth="1"/>
    <col min="76" max="16384" width="9.140625" style="24"/>
  </cols>
  <sheetData>
    <row r="1" spans="1:82" s="6" customFormat="1">
      <c r="A1" s="28" t="s">
        <v>111</v>
      </c>
      <c r="B1" s="28"/>
      <c r="C1" s="28"/>
      <c r="D1" s="28"/>
      <c r="E1" s="28"/>
      <c r="F1" s="28"/>
      <c r="G1" s="32"/>
      <c r="H1" s="32"/>
      <c r="I1" s="32"/>
      <c r="J1" s="32"/>
      <c r="K1" s="23"/>
      <c r="L1" s="32"/>
      <c r="M1" s="32"/>
      <c r="N1" s="3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8" t="s">
        <v>111</v>
      </c>
      <c r="AC1" s="28"/>
      <c r="AD1" s="28"/>
      <c r="AE1" s="2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33"/>
      <c r="AT1" s="33"/>
      <c r="AU1" s="33"/>
      <c r="AV1" s="33"/>
      <c r="BI1" s="28" t="s">
        <v>111</v>
      </c>
      <c r="BJ1" s="28"/>
      <c r="BK1" s="28"/>
      <c r="BU1" s="37"/>
    </row>
    <row r="2" spans="1:82" s="6" customFormat="1">
      <c r="A2" s="28" t="s">
        <v>351</v>
      </c>
      <c r="B2" s="28"/>
      <c r="C2" s="28"/>
      <c r="D2" s="28"/>
      <c r="E2" s="28"/>
      <c r="F2" s="28"/>
      <c r="G2" s="32"/>
      <c r="H2" s="32"/>
      <c r="I2" s="1"/>
      <c r="J2" s="1"/>
      <c r="K2" s="2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8" t="s">
        <v>351</v>
      </c>
      <c r="AC2" s="28"/>
      <c r="AD2" s="28"/>
      <c r="AE2" s="2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33"/>
      <c r="AT2" s="33"/>
      <c r="AU2" s="33"/>
      <c r="AV2" s="33"/>
      <c r="BI2" s="28" t="s">
        <v>351</v>
      </c>
      <c r="BJ2" s="28"/>
      <c r="BK2" s="28"/>
      <c r="BU2" s="37"/>
    </row>
    <row r="3" spans="1:82" s="3" customFormat="1">
      <c r="A3" s="4"/>
      <c r="B3" s="32"/>
      <c r="C3" s="32"/>
      <c r="D3" s="32"/>
      <c r="E3" s="32"/>
      <c r="F3" s="32"/>
      <c r="G3" s="32"/>
      <c r="H3" s="32"/>
      <c r="I3" s="1"/>
      <c r="J3" s="1"/>
      <c r="K3" s="2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32"/>
      <c r="AD3" s="32"/>
      <c r="AE3" s="3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BI3" s="5"/>
      <c r="BJ3" s="32"/>
      <c r="BK3" s="32"/>
      <c r="BU3" s="14"/>
    </row>
    <row r="4" spans="1:82" s="3" customFormat="1">
      <c r="A4" s="6" t="s">
        <v>260</v>
      </c>
      <c r="B4" s="4"/>
      <c r="C4" s="4"/>
      <c r="D4" s="1"/>
      <c r="E4" s="1"/>
      <c r="F4" s="1"/>
      <c r="G4" s="1"/>
      <c r="H4" s="1"/>
      <c r="I4" s="1"/>
      <c r="J4" s="1"/>
      <c r="K4" s="2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6" t="s">
        <v>260</v>
      </c>
      <c r="AC4" s="4"/>
      <c r="AD4" s="4"/>
      <c r="AE4" s="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BI4" s="6" t="s">
        <v>260</v>
      </c>
      <c r="BJ4" s="4"/>
      <c r="BK4" s="4"/>
      <c r="BS4" s="6"/>
      <c r="BU4" s="14"/>
    </row>
    <row r="5" spans="1:82" s="3" customFormat="1">
      <c r="A5" s="4"/>
      <c r="K5" s="23"/>
      <c r="BS5" s="6"/>
    </row>
    <row r="6" spans="1:82" s="6" customFormat="1">
      <c r="A6" s="26" t="s">
        <v>317</v>
      </c>
      <c r="B6" s="5"/>
      <c r="C6" s="5"/>
      <c r="D6" s="58"/>
      <c r="E6" s="58"/>
      <c r="F6" s="58"/>
      <c r="G6" s="58"/>
      <c r="H6" s="58"/>
      <c r="I6" s="58"/>
      <c r="J6" s="58"/>
      <c r="K6" s="38"/>
      <c r="L6" s="58"/>
      <c r="M6" s="10" t="s">
        <v>56</v>
      </c>
      <c r="N6" s="58"/>
      <c r="O6" s="58"/>
      <c r="P6" s="58"/>
      <c r="Q6" s="58"/>
      <c r="R6" s="58"/>
      <c r="S6" s="58"/>
      <c r="T6" s="58"/>
      <c r="U6" s="58"/>
      <c r="AB6" s="26" t="s">
        <v>317</v>
      </c>
      <c r="AC6" s="5"/>
      <c r="AD6" s="5"/>
      <c r="AE6" s="5"/>
      <c r="AL6" s="2"/>
      <c r="AN6" s="2"/>
      <c r="BI6" s="26" t="s">
        <v>317</v>
      </c>
      <c r="BJ6" s="5"/>
      <c r="BK6" s="5"/>
    </row>
    <row r="7" spans="1:82" s="3" customFormat="1">
      <c r="A7" s="49"/>
      <c r="B7" s="6"/>
      <c r="C7" s="6"/>
      <c r="E7" s="70" t="s">
        <v>56</v>
      </c>
      <c r="F7" s="70"/>
      <c r="G7" s="70"/>
      <c r="H7" s="70"/>
      <c r="I7" s="70"/>
      <c r="J7" s="70"/>
      <c r="K7" s="70"/>
      <c r="L7" s="38"/>
      <c r="M7" s="34" t="s">
        <v>344</v>
      </c>
      <c r="O7" s="70" t="s">
        <v>57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49"/>
      <c r="AC7" s="6"/>
      <c r="AD7" s="6"/>
      <c r="AE7" s="6"/>
      <c r="AF7" s="70" t="s">
        <v>345</v>
      </c>
      <c r="AG7" s="70"/>
      <c r="AH7" s="70"/>
      <c r="AI7" s="35"/>
      <c r="AJ7" s="35"/>
      <c r="AL7" s="70" t="s">
        <v>283</v>
      </c>
      <c r="AM7" s="70"/>
      <c r="AN7" s="70"/>
      <c r="AV7" s="70" t="s">
        <v>112</v>
      </c>
      <c r="AW7" s="70"/>
      <c r="AX7" s="70"/>
      <c r="AY7" s="38"/>
      <c r="BB7" s="34" t="s">
        <v>113</v>
      </c>
      <c r="BC7" s="34"/>
      <c r="BD7" s="34"/>
      <c r="BE7" s="34"/>
      <c r="BF7" s="34"/>
      <c r="BG7" s="34"/>
      <c r="BH7" s="34"/>
      <c r="BI7" s="49"/>
      <c r="BJ7" s="6"/>
      <c r="BK7" s="6"/>
      <c r="BM7" s="10" t="s">
        <v>8</v>
      </c>
      <c r="BN7" s="10"/>
      <c r="BO7" s="10" t="s">
        <v>114</v>
      </c>
      <c r="BP7" s="10"/>
      <c r="BQ7" s="10" t="s">
        <v>93</v>
      </c>
      <c r="BR7" s="10"/>
      <c r="BS7" s="10" t="s">
        <v>238</v>
      </c>
      <c r="BT7" s="10"/>
      <c r="BU7" s="10" t="s">
        <v>93</v>
      </c>
      <c r="BV7" s="10"/>
      <c r="BW7" s="10" t="s">
        <v>4</v>
      </c>
    </row>
    <row r="8" spans="1:82" s="10" customFormat="1">
      <c r="A8" s="26"/>
      <c r="B8" s="23"/>
      <c r="C8" s="23"/>
      <c r="D8" s="23"/>
      <c r="E8" s="23"/>
      <c r="F8" s="23"/>
      <c r="G8" s="23"/>
      <c r="H8" s="23"/>
      <c r="I8" s="23"/>
      <c r="J8" s="23"/>
      <c r="K8" s="2"/>
      <c r="AA8" s="10" t="s">
        <v>58</v>
      </c>
      <c r="AB8" s="26"/>
      <c r="BF8" s="10" t="s">
        <v>230</v>
      </c>
      <c r="BH8" s="10" t="s">
        <v>115</v>
      </c>
      <c r="BI8" s="26"/>
      <c r="BM8" s="10" t="s">
        <v>116</v>
      </c>
      <c r="BO8" s="10" t="s">
        <v>117</v>
      </c>
      <c r="BQ8" s="10" t="s">
        <v>118</v>
      </c>
      <c r="BS8" s="10" t="s">
        <v>237</v>
      </c>
      <c r="BU8" s="10" t="s">
        <v>118</v>
      </c>
      <c r="BW8" s="10" t="s">
        <v>11</v>
      </c>
    </row>
    <row r="9" spans="1:82" s="10" customFormat="1">
      <c r="A9" s="26"/>
      <c r="B9" s="2"/>
      <c r="C9" s="2"/>
      <c r="E9" s="2"/>
      <c r="F9" s="2"/>
      <c r="G9" s="2"/>
      <c r="H9" s="2"/>
      <c r="I9" s="2"/>
      <c r="J9" s="2"/>
      <c r="K9" s="18" t="s">
        <v>354</v>
      </c>
      <c r="L9" s="2"/>
      <c r="M9" s="2"/>
      <c r="N9" s="2"/>
      <c r="O9" s="2"/>
      <c r="P9" s="2"/>
      <c r="Q9" s="2" t="s">
        <v>61</v>
      </c>
      <c r="R9" s="2"/>
      <c r="S9" s="2" t="s">
        <v>62</v>
      </c>
      <c r="T9" s="2"/>
      <c r="U9" s="2"/>
      <c r="V9" s="2"/>
      <c r="W9" s="2"/>
      <c r="X9" s="2"/>
      <c r="Y9" s="2"/>
      <c r="Z9" s="2"/>
      <c r="AA9" s="2" t="s">
        <v>63</v>
      </c>
      <c r="AB9" s="26"/>
      <c r="AC9" s="2"/>
      <c r="AD9" s="2"/>
      <c r="AE9" s="2"/>
      <c r="AF9" s="2" t="s">
        <v>64</v>
      </c>
      <c r="AG9" s="2"/>
      <c r="AH9" s="2"/>
      <c r="AI9" s="2"/>
      <c r="AJ9" s="2"/>
      <c r="AK9" s="2"/>
      <c r="AL9" s="10" t="s">
        <v>65</v>
      </c>
      <c r="AP9" s="10" t="s">
        <v>66</v>
      </c>
      <c r="AR9" s="10" t="s">
        <v>6</v>
      </c>
      <c r="AT9" s="10" t="s">
        <v>100</v>
      </c>
      <c r="AV9" s="10" t="s">
        <v>119</v>
      </c>
      <c r="AZ9" s="10" t="s">
        <v>8</v>
      </c>
      <c r="BB9" s="10" t="s">
        <v>67</v>
      </c>
      <c r="BD9" s="10" t="s">
        <v>120</v>
      </c>
      <c r="BF9" s="10" t="s">
        <v>229</v>
      </c>
      <c r="BH9" s="10" t="s">
        <v>84</v>
      </c>
      <c r="BI9" s="26"/>
      <c r="BJ9" s="2"/>
      <c r="BK9" s="2"/>
      <c r="BM9" s="10" t="s">
        <v>40</v>
      </c>
      <c r="BO9" s="10" t="s">
        <v>93</v>
      </c>
      <c r="BQ9" s="2" t="s">
        <v>70</v>
      </c>
      <c r="BS9" s="10" t="s">
        <v>227</v>
      </c>
      <c r="BU9" s="2" t="s">
        <v>121</v>
      </c>
      <c r="BW9" s="10" t="s">
        <v>122</v>
      </c>
    </row>
    <row r="10" spans="1:82" s="10" customFormat="1">
      <c r="A10" s="57" t="s">
        <v>282</v>
      </c>
      <c r="C10" s="57" t="s">
        <v>12</v>
      </c>
      <c r="E10" s="9" t="s">
        <v>348</v>
      </c>
      <c r="G10" s="9" t="s">
        <v>73</v>
      </c>
      <c r="I10" s="9" t="s">
        <v>74</v>
      </c>
      <c r="J10" s="2"/>
      <c r="K10" s="9" t="s">
        <v>353</v>
      </c>
      <c r="M10" s="9" t="s">
        <v>84</v>
      </c>
      <c r="O10" s="9" t="s">
        <v>347</v>
      </c>
      <c r="Q10" s="9" t="s">
        <v>75</v>
      </c>
      <c r="S10" s="9" t="s">
        <v>76</v>
      </c>
      <c r="U10" s="9" t="s">
        <v>77</v>
      </c>
      <c r="W10" s="9" t="s">
        <v>78</v>
      </c>
      <c r="X10" s="2"/>
      <c r="Y10" s="57" t="s">
        <v>79</v>
      </c>
      <c r="AA10" s="9" t="s">
        <v>80</v>
      </c>
      <c r="AB10" s="57" t="s">
        <v>282</v>
      </c>
      <c r="AD10" s="57" t="s">
        <v>12</v>
      </c>
      <c r="AE10" s="2"/>
      <c r="AF10" s="57" t="s">
        <v>81</v>
      </c>
      <c r="AG10" s="2"/>
      <c r="AH10" s="57" t="s">
        <v>82</v>
      </c>
      <c r="AJ10" s="57" t="s">
        <v>84</v>
      </c>
      <c r="AL10" s="57" t="s">
        <v>83</v>
      </c>
      <c r="AN10" s="57" t="s">
        <v>84</v>
      </c>
      <c r="AO10" s="2"/>
      <c r="AP10" s="57" t="s">
        <v>50</v>
      </c>
      <c r="AQ10" s="2"/>
      <c r="AR10" s="57" t="s">
        <v>123</v>
      </c>
      <c r="AS10" s="2"/>
      <c r="AT10" s="57" t="s">
        <v>105</v>
      </c>
      <c r="AU10" s="2"/>
      <c r="AV10" s="57" t="s">
        <v>349</v>
      </c>
      <c r="AW10" s="2"/>
      <c r="AX10" s="57" t="s">
        <v>85</v>
      </c>
      <c r="AY10" s="2"/>
      <c r="AZ10" s="57" t="s">
        <v>116</v>
      </c>
      <c r="BA10" s="2"/>
      <c r="BB10" s="57" t="s">
        <v>86</v>
      </c>
      <c r="BC10" s="2"/>
      <c r="BD10" s="57" t="s">
        <v>86</v>
      </c>
      <c r="BE10" s="2"/>
      <c r="BF10" s="57" t="s">
        <v>236</v>
      </c>
      <c r="BG10" s="2"/>
      <c r="BH10" s="57" t="s">
        <v>124</v>
      </c>
      <c r="BI10" s="57" t="s">
        <v>282</v>
      </c>
      <c r="BK10" s="57" t="s">
        <v>12</v>
      </c>
      <c r="BL10" s="2"/>
      <c r="BM10" s="57" t="s">
        <v>125</v>
      </c>
      <c r="BN10" s="2"/>
      <c r="BO10" s="57" t="s">
        <v>118</v>
      </c>
      <c r="BQ10" s="57" t="s">
        <v>89</v>
      </c>
      <c r="BS10" s="57" t="s">
        <v>226</v>
      </c>
      <c r="BU10" s="57" t="s">
        <v>89</v>
      </c>
      <c r="BW10" s="57" t="s">
        <v>20</v>
      </c>
    </row>
    <row r="11" spans="1:82" s="10" customFormat="1">
      <c r="A11" s="2"/>
      <c r="C11" s="2"/>
      <c r="E11" s="2"/>
      <c r="G11" s="2"/>
      <c r="I11" s="2"/>
      <c r="J11" s="2"/>
      <c r="K11" s="50"/>
      <c r="M11" s="2"/>
      <c r="O11" s="2"/>
      <c r="Q11" s="2"/>
      <c r="S11" s="2"/>
      <c r="U11" s="2"/>
      <c r="W11" s="2"/>
      <c r="X11" s="2"/>
      <c r="Y11" s="2"/>
      <c r="AA11" s="2"/>
      <c r="AF11" s="2"/>
      <c r="AG11" s="2"/>
      <c r="AH11" s="2"/>
      <c r="AJ11" s="2"/>
      <c r="AL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L11" s="2"/>
      <c r="BM11" s="2"/>
      <c r="BN11" s="2"/>
      <c r="BO11" s="2"/>
      <c r="BQ11" s="2"/>
      <c r="BS11" s="2"/>
      <c r="BU11" s="2"/>
      <c r="BW11" s="2"/>
      <c r="BX11" s="59"/>
      <c r="BY11" s="59"/>
      <c r="BZ11" s="59"/>
      <c r="CA11" s="59"/>
      <c r="CB11" s="59"/>
      <c r="CC11" s="59"/>
      <c r="CD11" s="59"/>
    </row>
    <row r="12" spans="1:82">
      <c r="A12" s="29" t="s">
        <v>255</v>
      </c>
      <c r="K12" s="23"/>
      <c r="AB12" s="29" t="s">
        <v>255</v>
      </c>
      <c r="BI12" s="29" t="s">
        <v>255</v>
      </c>
    </row>
    <row r="13" spans="1:82">
      <c r="A13" s="29"/>
      <c r="K13" s="23"/>
      <c r="AB13" s="29"/>
      <c r="BI13" s="29"/>
    </row>
    <row r="14" spans="1:82">
      <c r="A14" s="3" t="s">
        <v>288</v>
      </c>
      <c r="B14" s="3"/>
      <c r="C14" s="3" t="s">
        <v>263</v>
      </c>
      <c r="E14" s="17">
        <v>412836</v>
      </c>
      <c r="F14" s="17"/>
      <c r="G14" s="17">
        <v>167258</v>
      </c>
      <c r="H14" s="17"/>
      <c r="I14" s="17">
        <v>4979799</v>
      </c>
      <c r="J14" s="17"/>
      <c r="K14" s="50">
        <v>0</v>
      </c>
      <c r="L14" s="17"/>
      <c r="M14" s="17">
        <v>0</v>
      </c>
      <c r="N14" s="17"/>
      <c r="O14" s="17">
        <v>517588</v>
      </c>
      <c r="P14" s="17"/>
      <c r="Q14" s="17">
        <v>495165</v>
      </c>
      <c r="R14" s="17"/>
      <c r="S14" s="17">
        <v>51365</v>
      </c>
      <c r="T14" s="17"/>
      <c r="U14" s="17">
        <v>746676</v>
      </c>
      <c r="V14" s="17"/>
      <c r="W14" s="17">
        <v>430598</v>
      </c>
      <c r="X14" s="17"/>
      <c r="Y14" s="17">
        <v>0</v>
      </c>
      <c r="Z14" s="17"/>
      <c r="AA14" s="17">
        <v>1162061</v>
      </c>
      <c r="AB14" s="3" t="s">
        <v>288</v>
      </c>
      <c r="AC14" s="3"/>
      <c r="AD14" s="3" t="s">
        <v>263</v>
      </c>
      <c r="AE14" s="3"/>
      <c r="AF14" s="17">
        <v>2297</v>
      </c>
      <c r="AG14" s="17"/>
      <c r="AH14" s="17">
        <v>374255</v>
      </c>
      <c r="AI14" s="17"/>
      <c r="AJ14" s="17"/>
      <c r="AK14" s="62"/>
      <c r="AL14" s="17">
        <v>0</v>
      </c>
      <c r="AM14" s="17"/>
      <c r="AN14" s="17">
        <v>1110</v>
      </c>
      <c r="AO14" s="17"/>
      <c r="AP14" s="17">
        <v>32883</v>
      </c>
      <c r="AQ14" s="17"/>
      <c r="AR14" s="17">
        <v>0</v>
      </c>
      <c r="AS14" s="17"/>
      <c r="AT14" s="17"/>
      <c r="AU14" s="17"/>
      <c r="AV14" s="17">
        <v>0</v>
      </c>
      <c r="AW14" s="17"/>
      <c r="AX14" s="17">
        <v>0</v>
      </c>
      <c r="AY14" s="17"/>
      <c r="AZ14" s="17">
        <f>SUM(E14:AX14)</f>
        <v>9373891</v>
      </c>
      <c r="BA14" s="17"/>
      <c r="BB14" s="17">
        <v>0</v>
      </c>
      <c r="BC14" s="17"/>
      <c r="BD14" s="17"/>
      <c r="BE14" s="17"/>
      <c r="BF14" s="17"/>
      <c r="BG14" s="17"/>
      <c r="BH14" s="17">
        <v>0</v>
      </c>
      <c r="BI14" s="3" t="s">
        <v>288</v>
      </c>
      <c r="BJ14" s="3"/>
      <c r="BK14" s="3" t="s">
        <v>263</v>
      </c>
      <c r="BL14" s="17"/>
      <c r="BM14" s="17">
        <f t="shared" ref="BM14:BM45" si="0">+BH14+BD14+BB14+AZ14</f>
        <v>9373891</v>
      </c>
      <c r="BN14" s="17"/>
      <c r="BO14" s="17">
        <f>GenRev!AU14-BM14</f>
        <v>729017</v>
      </c>
      <c r="BP14" s="17"/>
      <c r="BQ14" s="17">
        <v>4348861</v>
      </c>
      <c r="BR14" s="17"/>
      <c r="BS14" s="17">
        <v>0</v>
      </c>
      <c r="BT14" s="17"/>
      <c r="BU14" s="17">
        <f t="shared" ref="BU14:BU64" si="1">+BQ14+BO14+BS14</f>
        <v>5077878</v>
      </c>
      <c r="BV14" s="17"/>
      <c r="BW14" s="60">
        <f>+BU14-GenBS!AC14</f>
        <v>0</v>
      </c>
    </row>
    <row r="15" spans="1:82" s="17" customFormat="1">
      <c r="A15" s="3" t="s">
        <v>241</v>
      </c>
      <c r="C15" s="17" t="s">
        <v>145</v>
      </c>
      <c r="E15" s="3">
        <v>457565</v>
      </c>
      <c r="F15" s="3"/>
      <c r="G15" s="3">
        <v>243051</v>
      </c>
      <c r="H15" s="3"/>
      <c r="I15" s="3">
        <v>2781091</v>
      </c>
      <c r="J15" s="3"/>
      <c r="K15" s="23">
        <v>51840</v>
      </c>
      <c r="L15" s="3"/>
      <c r="M15" s="3">
        <v>3418</v>
      </c>
      <c r="N15" s="3"/>
      <c r="O15" s="3">
        <v>124521</v>
      </c>
      <c r="P15" s="3"/>
      <c r="Q15" s="3">
        <v>113246</v>
      </c>
      <c r="R15" s="3"/>
      <c r="S15" s="3">
        <v>72567</v>
      </c>
      <c r="T15" s="3"/>
      <c r="U15" s="3">
        <v>746539</v>
      </c>
      <c r="V15" s="3"/>
      <c r="W15" s="3">
        <v>422026</v>
      </c>
      <c r="X15" s="3"/>
      <c r="Y15" s="3">
        <v>4894</v>
      </c>
      <c r="Z15" s="3"/>
      <c r="AA15" s="3">
        <v>477444</v>
      </c>
      <c r="AB15" s="3" t="s">
        <v>241</v>
      </c>
      <c r="AC15" s="3"/>
      <c r="AD15" s="3" t="s">
        <v>145</v>
      </c>
      <c r="AE15" s="3"/>
      <c r="AF15" s="3">
        <v>11912</v>
      </c>
      <c r="AG15" s="3"/>
      <c r="AH15" s="3">
        <v>16007</v>
      </c>
      <c r="AI15" s="3"/>
      <c r="AJ15" s="3"/>
      <c r="AK15" s="27"/>
      <c r="AL15" s="3">
        <v>0</v>
      </c>
      <c r="AM15" s="3"/>
      <c r="AN15" s="3">
        <v>435</v>
      </c>
      <c r="AO15" s="3"/>
      <c r="AP15" s="3">
        <v>25431</v>
      </c>
      <c r="AQ15" s="3"/>
      <c r="AR15" s="3">
        <v>0</v>
      </c>
      <c r="AS15" s="3"/>
      <c r="AT15" s="3"/>
      <c r="AU15" s="3"/>
      <c r="AV15" s="3">
        <v>0</v>
      </c>
      <c r="AW15" s="3"/>
      <c r="AX15" s="3">
        <v>0</v>
      </c>
      <c r="AY15" s="3"/>
      <c r="AZ15" s="3">
        <f t="shared" ref="AZ15:AZ64" si="2">SUM(E15:AX15)</f>
        <v>5551987</v>
      </c>
      <c r="BA15" s="3"/>
      <c r="BB15" s="3">
        <v>25000</v>
      </c>
      <c r="BC15" s="3"/>
      <c r="BD15" s="3"/>
      <c r="BE15" s="3"/>
      <c r="BF15" s="3"/>
      <c r="BG15" s="3"/>
      <c r="BH15" s="3">
        <v>0</v>
      </c>
      <c r="BI15" s="3" t="s">
        <v>241</v>
      </c>
      <c r="BJ15" s="3"/>
      <c r="BK15" s="3" t="s">
        <v>145</v>
      </c>
      <c r="BM15" s="3">
        <f t="shared" si="0"/>
        <v>5576987</v>
      </c>
      <c r="BN15" s="3"/>
      <c r="BO15" s="3">
        <f>GenRev!AU15-BM15</f>
        <v>-521761</v>
      </c>
      <c r="BP15" s="3"/>
      <c r="BQ15" s="3">
        <v>4598773</v>
      </c>
      <c r="BR15" s="3"/>
      <c r="BS15" s="3">
        <v>0</v>
      </c>
      <c r="BT15" s="3"/>
      <c r="BU15" s="3">
        <f t="shared" si="1"/>
        <v>4077012</v>
      </c>
      <c r="BW15" s="14">
        <f>+BU15-GenBS!AC15</f>
        <v>0</v>
      </c>
    </row>
    <row r="16" spans="1:82" s="13" customFormat="1">
      <c r="A16" s="3" t="s">
        <v>356</v>
      </c>
      <c r="C16" s="13" t="s">
        <v>146</v>
      </c>
      <c r="E16" s="3">
        <v>883795</v>
      </c>
      <c r="F16" s="3"/>
      <c r="G16" s="3">
        <v>487718</v>
      </c>
      <c r="H16" s="3"/>
      <c r="I16" s="3">
        <v>4715913</v>
      </c>
      <c r="J16" s="3"/>
      <c r="K16" s="23">
        <v>0</v>
      </c>
      <c r="L16" s="3"/>
      <c r="M16" s="3">
        <v>0</v>
      </c>
      <c r="N16" s="3"/>
      <c r="O16" s="3">
        <v>450576</v>
      </c>
      <c r="P16" s="3"/>
      <c r="Q16" s="3">
        <v>1311751</v>
      </c>
      <c r="R16" s="3"/>
      <c r="S16" s="3">
        <v>51239</v>
      </c>
      <c r="T16" s="3"/>
      <c r="U16" s="3">
        <v>626929</v>
      </c>
      <c r="V16" s="3"/>
      <c r="W16" s="3">
        <v>404887</v>
      </c>
      <c r="X16" s="3"/>
      <c r="Y16" s="3">
        <v>82022</v>
      </c>
      <c r="Z16" s="3"/>
      <c r="AA16" s="3">
        <v>1013378</v>
      </c>
      <c r="AB16" s="3" t="s">
        <v>356</v>
      </c>
      <c r="AD16" s="13" t="s">
        <v>146</v>
      </c>
      <c r="AF16" s="3">
        <v>23937</v>
      </c>
      <c r="AG16" s="3"/>
      <c r="AH16" s="3">
        <v>24032</v>
      </c>
      <c r="AI16" s="3"/>
      <c r="AJ16" s="3"/>
      <c r="AK16" s="3"/>
      <c r="AL16" s="3">
        <v>0</v>
      </c>
      <c r="AM16" s="3"/>
      <c r="AN16" s="3">
        <v>742</v>
      </c>
      <c r="AO16" s="3"/>
      <c r="AP16" s="3">
        <v>0</v>
      </c>
      <c r="AQ16" s="3"/>
      <c r="AR16" s="3">
        <v>0</v>
      </c>
      <c r="AS16" s="3"/>
      <c r="AT16" s="3"/>
      <c r="AU16" s="3"/>
      <c r="AV16" s="3">
        <v>0</v>
      </c>
      <c r="AW16" s="3"/>
      <c r="AX16" s="3">
        <v>0</v>
      </c>
      <c r="AY16" s="3"/>
      <c r="AZ16" s="3">
        <f t="shared" si="2"/>
        <v>10076919</v>
      </c>
      <c r="BA16" s="3"/>
      <c r="BB16" s="3">
        <v>500000</v>
      </c>
      <c r="BC16" s="3"/>
      <c r="BD16" s="3"/>
      <c r="BE16" s="3"/>
      <c r="BF16" s="3"/>
      <c r="BG16" s="3"/>
      <c r="BH16" s="3">
        <v>0</v>
      </c>
      <c r="BI16" s="3" t="s">
        <v>356</v>
      </c>
      <c r="BK16" s="13" t="s">
        <v>146</v>
      </c>
      <c r="BL16" s="3"/>
      <c r="BM16" s="3">
        <f t="shared" si="0"/>
        <v>10576919</v>
      </c>
      <c r="BN16" s="3"/>
      <c r="BO16" s="3">
        <f>GenRev!AU16-BM16</f>
        <v>-471242</v>
      </c>
      <c r="BP16" s="3"/>
      <c r="BQ16" s="3">
        <v>6658723</v>
      </c>
      <c r="BR16" s="3"/>
      <c r="BS16" s="3">
        <v>0</v>
      </c>
      <c r="BT16" s="3"/>
      <c r="BU16" s="3">
        <f t="shared" si="1"/>
        <v>6187481</v>
      </c>
      <c r="BV16" s="3"/>
      <c r="BW16" s="14">
        <f>+BU16-GenBS!AC16</f>
        <v>0</v>
      </c>
    </row>
    <row r="17" spans="1:75" s="13" customFormat="1">
      <c r="A17" s="3" t="s">
        <v>294</v>
      </c>
      <c r="C17" s="13" t="s">
        <v>148</v>
      </c>
      <c r="E17" s="3">
        <v>0</v>
      </c>
      <c r="F17" s="3"/>
      <c r="G17" s="3">
        <v>550077</v>
      </c>
      <c r="H17" s="3"/>
      <c r="I17" s="3">
        <v>3374322</v>
      </c>
      <c r="J17" s="3"/>
      <c r="K17" s="23">
        <v>0</v>
      </c>
      <c r="L17" s="3"/>
      <c r="M17" s="3">
        <v>0</v>
      </c>
      <c r="N17" s="3"/>
      <c r="O17" s="3">
        <v>609718</v>
      </c>
      <c r="P17" s="3"/>
      <c r="Q17" s="3">
        <v>153597</v>
      </c>
      <c r="R17" s="3"/>
      <c r="S17" s="3">
        <v>151325</v>
      </c>
      <c r="T17" s="3"/>
      <c r="U17" s="3">
        <v>1037704</v>
      </c>
      <c r="V17" s="3"/>
      <c r="W17" s="3">
        <v>520476</v>
      </c>
      <c r="X17" s="3"/>
      <c r="Y17" s="3">
        <v>525</v>
      </c>
      <c r="Z17" s="3"/>
      <c r="AA17" s="3">
        <v>1205151</v>
      </c>
      <c r="AB17" s="3" t="s">
        <v>294</v>
      </c>
      <c r="AD17" s="13" t="s">
        <v>148</v>
      </c>
      <c r="AF17" s="3">
        <v>12288</v>
      </c>
      <c r="AG17" s="3"/>
      <c r="AH17" s="3">
        <v>498114</v>
      </c>
      <c r="AI17" s="3"/>
      <c r="AJ17" s="3"/>
      <c r="AK17" s="3"/>
      <c r="AL17" s="3">
        <v>0</v>
      </c>
      <c r="AM17" s="3"/>
      <c r="AN17" s="3">
        <v>11534</v>
      </c>
      <c r="AO17" s="3"/>
      <c r="AP17" s="3">
        <v>0</v>
      </c>
      <c r="AQ17" s="3"/>
      <c r="AR17" s="3">
        <v>585682</v>
      </c>
      <c r="AS17" s="3"/>
      <c r="AT17" s="3"/>
      <c r="AU17" s="3"/>
      <c r="AV17" s="3">
        <v>0</v>
      </c>
      <c r="AW17" s="3"/>
      <c r="AX17" s="3">
        <v>0</v>
      </c>
      <c r="AY17" s="3"/>
      <c r="AZ17" s="3">
        <f t="shared" si="2"/>
        <v>8710513</v>
      </c>
      <c r="BA17" s="3"/>
      <c r="BB17" s="3">
        <v>77500</v>
      </c>
      <c r="BC17" s="3"/>
      <c r="BD17" s="3"/>
      <c r="BE17" s="3"/>
      <c r="BF17" s="3"/>
      <c r="BG17" s="3"/>
      <c r="BH17" s="3">
        <v>0</v>
      </c>
      <c r="BI17" s="3" t="s">
        <v>294</v>
      </c>
      <c r="BK17" s="13" t="s">
        <v>148</v>
      </c>
      <c r="BL17" s="3"/>
      <c r="BM17" s="3">
        <f t="shared" si="0"/>
        <v>8788013</v>
      </c>
      <c r="BN17" s="3"/>
      <c r="BO17" s="3">
        <f>GenRev!AU17-BM17</f>
        <v>672878</v>
      </c>
      <c r="BP17" s="3"/>
      <c r="BQ17" s="3">
        <v>7252918</v>
      </c>
      <c r="BR17" s="3"/>
      <c r="BS17" s="3">
        <v>0</v>
      </c>
      <c r="BT17" s="3"/>
      <c r="BU17" s="3">
        <f t="shared" si="1"/>
        <v>7925796</v>
      </c>
      <c r="BV17" s="3"/>
      <c r="BW17" s="14">
        <f>+BU17-GenBS!AC17</f>
        <v>0</v>
      </c>
    </row>
    <row r="18" spans="1:75" s="13" customFormat="1">
      <c r="A18" s="3" t="s">
        <v>295</v>
      </c>
      <c r="C18" s="13" t="s">
        <v>151</v>
      </c>
      <c r="E18" s="3">
        <v>223725</v>
      </c>
      <c r="F18" s="3"/>
      <c r="G18" s="3">
        <v>0</v>
      </c>
      <c r="H18" s="3"/>
      <c r="I18" s="3">
        <v>3330855</v>
      </c>
      <c r="J18" s="3"/>
      <c r="K18" s="23">
        <v>0</v>
      </c>
      <c r="L18" s="3"/>
      <c r="M18" s="3">
        <v>0</v>
      </c>
      <c r="N18" s="3"/>
      <c r="O18" s="3">
        <v>622276</v>
      </c>
      <c r="P18" s="3"/>
      <c r="Q18" s="3">
        <v>8316</v>
      </c>
      <c r="R18" s="3"/>
      <c r="S18" s="3">
        <v>36279</v>
      </c>
      <c r="T18" s="3"/>
      <c r="U18" s="3">
        <v>558870</v>
      </c>
      <c r="V18" s="3"/>
      <c r="W18" s="3">
        <v>276676</v>
      </c>
      <c r="X18" s="3"/>
      <c r="Y18" s="3">
        <v>0</v>
      </c>
      <c r="Z18" s="3"/>
      <c r="AA18" s="3">
        <v>566121</v>
      </c>
      <c r="AB18" s="3" t="s">
        <v>295</v>
      </c>
      <c r="AD18" s="13" t="s">
        <v>151</v>
      </c>
      <c r="AF18" s="3">
        <v>0</v>
      </c>
      <c r="AG18" s="3"/>
      <c r="AH18" s="3">
        <v>144852</v>
      </c>
      <c r="AI18" s="3"/>
      <c r="AJ18" s="3"/>
      <c r="AK18" s="3"/>
      <c r="AL18" s="3">
        <v>0</v>
      </c>
      <c r="AM18" s="3"/>
      <c r="AN18" s="3">
        <v>0</v>
      </c>
      <c r="AO18" s="3"/>
      <c r="AP18" s="3">
        <v>27002</v>
      </c>
      <c r="AQ18" s="3"/>
      <c r="AR18" s="3">
        <v>0</v>
      </c>
      <c r="AS18" s="3"/>
      <c r="AT18" s="3"/>
      <c r="AU18" s="3"/>
      <c r="AV18" s="3">
        <v>33333</v>
      </c>
      <c r="AW18" s="3"/>
      <c r="AX18" s="3">
        <v>0</v>
      </c>
      <c r="AY18" s="3"/>
      <c r="AZ18" s="3">
        <f t="shared" si="2"/>
        <v>5828305</v>
      </c>
      <c r="BA18" s="3"/>
      <c r="BB18" s="3">
        <v>0</v>
      </c>
      <c r="BC18" s="3"/>
      <c r="BD18" s="3"/>
      <c r="BE18" s="3"/>
      <c r="BF18" s="3"/>
      <c r="BG18" s="3"/>
      <c r="BH18" s="3">
        <v>0</v>
      </c>
      <c r="BI18" s="3" t="s">
        <v>295</v>
      </c>
      <c r="BK18" s="13" t="s">
        <v>151</v>
      </c>
      <c r="BL18" s="3"/>
      <c r="BM18" s="3">
        <f t="shared" si="0"/>
        <v>5828305</v>
      </c>
      <c r="BN18" s="3"/>
      <c r="BO18" s="3">
        <f>GenRev!AU18-BM18</f>
        <v>432545</v>
      </c>
      <c r="BP18" s="3"/>
      <c r="BQ18" s="3">
        <v>475259</v>
      </c>
      <c r="BR18" s="3"/>
      <c r="BS18" s="3">
        <v>0</v>
      </c>
      <c r="BT18" s="3"/>
      <c r="BU18" s="3">
        <f t="shared" si="1"/>
        <v>907804</v>
      </c>
      <c r="BV18" s="3"/>
      <c r="BW18" s="14">
        <f>+BU18-GenBS!AC18</f>
        <v>0</v>
      </c>
    </row>
    <row r="19" spans="1:75" s="13" customFormat="1">
      <c r="A19" s="3" t="s">
        <v>222</v>
      </c>
      <c r="C19" s="13" t="s">
        <v>200</v>
      </c>
      <c r="E19" s="3">
        <v>1293386</v>
      </c>
      <c r="F19" s="3"/>
      <c r="G19" s="3">
        <v>616764</v>
      </c>
      <c r="H19" s="3"/>
      <c r="I19" s="3">
        <v>5873826</v>
      </c>
      <c r="J19" s="3"/>
      <c r="K19" s="23">
        <v>0</v>
      </c>
      <c r="L19" s="3"/>
      <c r="M19" s="3">
        <v>0</v>
      </c>
      <c r="N19" s="3"/>
      <c r="O19" s="3">
        <v>721439</v>
      </c>
      <c r="P19" s="3"/>
      <c r="Q19" s="3">
        <v>500608</v>
      </c>
      <c r="R19" s="3"/>
      <c r="S19" s="3">
        <v>169173</v>
      </c>
      <c r="T19" s="3"/>
      <c r="U19" s="3">
        <v>801442</v>
      </c>
      <c r="V19" s="3"/>
      <c r="W19" s="3">
        <v>401497</v>
      </c>
      <c r="X19" s="3"/>
      <c r="Y19" s="3">
        <v>0</v>
      </c>
      <c r="Z19" s="3"/>
      <c r="AA19" s="3">
        <v>1428365</v>
      </c>
      <c r="AB19" s="3" t="s">
        <v>222</v>
      </c>
      <c r="AD19" s="13" t="s">
        <v>200</v>
      </c>
      <c r="AF19" s="3">
        <v>1677</v>
      </c>
      <c r="AG19" s="3"/>
      <c r="AH19" s="3">
        <v>0</v>
      </c>
      <c r="AI19" s="3"/>
      <c r="AJ19" s="3"/>
      <c r="AK19" s="3"/>
      <c r="AL19" s="3">
        <v>0</v>
      </c>
      <c r="AM19" s="3"/>
      <c r="AN19" s="3">
        <v>0</v>
      </c>
      <c r="AO19" s="3"/>
      <c r="AP19" s="3">
        <v>16982</v>
      </c>
      <c r="AQ19" s="3"/>
      <c r="AR19" s="3">
        <v>0</v>
      </c>
      <c r="AS19" s="3"/>
      <c r="AT19" s="3"/>
      <c r="AU19" s="3"/>
      <c r="AV19" s="3">
        <v>48957</v>
      </c>
      <c r="AW19" s="3"/>
      <c r="AX19" s="3">
        <v>8287</v>
      </c>
      <c r="AY19" s="3"/>
      <c r="AZ19" s="3">
        <f t="shared" si="2"/>
        <v>11882403</v>
      </c>
      <c r="BA19" s="3"/>
      <c r="BB19" s="3">
        <v>50000</v>
      </c>
      <c r="BC19" s="3"/>
      <c r="BD19" s="3"/>
      <c r="BE19" s="3"/>
      <c r="BF19" s="3"/>
      <c r="BG19" s="3"/>
      <c r="BH19" s="3">
        <v>0</v>
      </c>
      <c r="BI19" s="3" t="s">
        <v>222</v>
      </c>
      <c r="BK19" s="13" t="s">
        <v>200</v>
      </c>
      <c r="BL19" s="3"/>
      <c r="BM19" s="3">
        <f t="shared" si="0"/>
        <v>11932403</v>
      </c>
      <c r="BN19" s="3"/>
      <c r="BO19" s="3">
        <f>GenRev!AU19-BM19</f>
        <v>349144</v>
      </c>
      <c r="BP19" s="3"/>
      <c r="BQ19" s="3">
        <v>12639079</v>
      </c>
      <c r="BR19" s="3"/>
      <c r="BS19" s="3">
        <v>0</v>
      </c>
      <c r="BT19" s="3"/>
      <c r="BU19" s="3">
        <f t="shared" si="1"/>
        <v>12988223</v>
      </c>
      <c r="BV19" s="3"/>
      <c r="BW19" s="14">
        <f>+BU19-GenBS!AC19</f>
        <v>0</v>
      </c>
    </row>
    <row r="20" spans="1:75" s="13" customFormat="1">
      <c r="A20" s="3" t="s">
        <v>366</v>
      </c>
      <c r="C20" s="13" t="s">
        <v>149</v>
      </c>
      <c r="E20" s="3">
        <v>442474</v>
      </c>
      <c r="F20" s="3"/>
      <c r="G20" s="3">
        <v>22680872</v>
      </c>
      <c r="H20" s="3"/>
      <c r="I20" s="3">
        <v>0</v>
      </c>
      <c r="J20" s="3"/>
      <c r="K20" s="23">
        <v>0</v>
      </c>
      <c r="L20" s="3"/>
      <c r="M20" s="3">
        <v>0</v>
      </c>
      <c r="N20" s="3"/>
      <c r="O20" s="3">
        <v>1217010</v>
      </c>
      <c r="P20" s="3"/>
      <c r="Q20" s="3">
        <v>2976338</v>
      </c>
      <c r="R20" s="3"/>
      <c r="S20" s="3">
        <v>110795</v>
      </c>
      <c r="T20" s="3"/>
      <c r="U20" s="3">
        <v>2520926</v>
      </c>
      <c r="V20" s="3"/>
      <c r="W20" s="3">
        <v>1147282</v>
      </c>
      <c r="X20" s="3"/>
      <c r="Y20" s="3">
        <v>61069</v>
      </c>
      <c r="Z20" s="3"/>
      <c r="AA20" s="3">
        <v>3701102</v>
      </c>
      <c r="AB20" s="3" t="s">
        <v>366</v>
      </c>
      <c r="AD20" s="13" t="s">
        <v>149</v>
      </c>
      <c r="AF20" s="3">
        <v>76044</v>
      </c>
      <c r="AG20" s="3"/>
      <c r="AH20" s="3">
        <v>3083106</v>
      </c>
      <c r="AI20" s="3"/>
      <c r="AJ20" s="3"/>
      <c r="AK20" s="3"/>
      <c r="AL20" s="3">
        <v>0</v>
      </c>
      <c r="AM20" s="3"/>
      <c r="AN20" s="3">
        <v>18740</v>
      </c>
      <c r="AO20" s="3"/>
      <c r="AP20" s="3">
        <v>402495</v>
      </c>
      <c r="AQ20" s="3"/>
      <c r="AR20" s="3">
        <v>0</v>
      </c>
      <c r="AS20" s="3"/>
      <c r="AT20" s="3"/>
      <c r="AU20" s="3"/>
      <c r="AV20" s="3">
        <v>0</v>
      </c>
      <c r="AW20" s="3"/>
      <c r="AX20" s="3">
        <v>3402</v>
      </c>
      <c r="AY20" s="3"/>
      <c r="AZ20" s="3">
        <f t="shared" si="2"/>
        <v>38441655</v>
      </c>
      <c r="BA20" s="3"/>
      <c r="BB20" s="3">
        <v>1187137</v>
      </c>
      <c r="BC20" s="3"/>
      <c r="BD20" s="3"/>
      <c r="BE20" s="3"/>
      <c r="BF20" s="3"/>
      <c r="BG20" s="3"/>
      <c r="BH20" s="3">
        <v>0</v>
      </c>
      <c r="BI20" s="3" t="s">
        <v>366</v>
      </c>
      <c r="BK20" s="13" t="s">
        <v>149</v>
      </c>
      <c r="BL20" s="3"/>
      <c r="BM20" s="3">
        <f t="shared" si="0"/>
        <v>39628792</v>
      </c>
      <c r="BN20" s="3"/>
      <c r="BO20" s="3">
        <f>GenRev!AU20-BM20</f>
        <v>552844</v>
      </c>
      <c r="BP20" s="3"/>
      <c r="BQ20" s="3">
        <v>11545850</v>
      </c>
      <c r="BR20" s="3"/>
      <c r="BS20" s="3">
        <v>0</v>
      </c>
      <c r="BT20" s="3"/>
      <c r="BU20" s="3">
        <f t="shared" si="1"/>
        <v>12098694</v>
      </c>
      <c r="BV20" s="3"/>
      <c r="BW20" s="14">
        <f>+BU20-GenBS!AC20</f>
        <v>0</v>
      </c>
    </row>
    <row r="21" spans="1:75" s="13" customFormat="1">
      <c r="A21" s="3" t="s">
        <v>278</v>
      </c>
      <c r="C21" s="13" t="s">
        <v>175</v>
      </c>
      <c r="E21" s="3">
        <v>83165</v>
      </c>
      <c r="F21" s="3"/>
      <c r="G21" s="3">
        <v>544083</v>
      </c>
      <c r="H21" s="3"/>
      <c r="I21" s="3">
        <v>4466958</v>
      </c>
      <c r="J21" s="3"/>
      <c r="K21" s="23">
        <v>13362</v>
      </c>
      <c r="L21" s="3"/>
      <c r="M21" s="3">
        <v>0</v>
      </c>
      <c r="N21" s="3"/>
      <c r="O21" s="3">
        <v>363396</v>
      </c>
      <c r="P21" s="3"/>
      <c r="Q21" s="3">
        <v>549042</v>
      </c>
      <c r="R21" s="3"/>
      <c r="S21" s="3">
        <v>21452</v>
      </c>
      <c r="T21" s="3"/>
      <c r="U21" s="3">
        <v>933345</v>
      </c>
      <c r="V21" s="3"/>
      <c r="W21" s="3">
        <v>387849</v>
      </c>
      <c r="X21" s="3"/>
      <c r="Y21" s="3">
        <v>266486</v>
      </c>
      <c r="Z21" s="3"/>
      <c r="AA21" s="3">
        <v>1394364</v>
      </c>
      <c r="AB21" s="3" t="s">
        <v>278</v>
      </c>
      <c r="AD21" s="13" t="s">
        <v>175</v>
      </c>
      <c r="AF21" s="3">
        <v>5566</v>
      </c>
      <c r="AG21" s="3"/>
      <c r="AH21" s="3">
        <v>743407</v>
      </c>
      <c r="AI21" s="3"/>
      <c r="AJ21" s="3"/>
      <c r="AK21" s="3"/>
      <c r="AL21" s="3">
        <v>35013</v>
      </c>
      <c r="AM21" s="3"/>
      <c r="AN21" s="3">
        <v>0</v>
      </c>
      <c r="AO21" s="3"/>
      <c r="AP21" s="3">
        <v>46948</v>
      </c>
      <c r="AQ21" s="3"/>
      <c r="AR21" s="3">
        <v>0</v>
      </c>
      <c r="AS21" s="3"/>
      <c r="AT21" s="3"/>
      <c r="AU21" s="3"/>
      <c r="AV21" s="3">
        <v>35511</v>
      </c>
      <c r="AW21" s="3"/>
      <c r="AX21" s="3">
        <v>597</v>
      </c>
      <c r="AY21" s="3"/>
      <c r="AZ21" s="3">
        <f t="shared" si="2"/>
        <v>9890544</v>
      </c>
      <c r="BA21" s="3"/>
      <c r="BB21" s="3">
        <v>184637</v>
      </c>
      <c r="BC21" s="3"/>
      <c r="BD21" s="3"/>
      <c r="BE21" s="3"/>
      <c r="BF21" s="3"/>
      <c r="BG21" s="3"/>
      <c r="BH21" s="3">
        <v>0</v>
      </c>
      <c r="BI21" s="3" t="s">
        <v>278</v>
      </c>
      <c r="BK21" s="13" t="s">
        <v>175</v>
      </c>
      <c r="BL21" s="3"/>
      <c r="BM21" s="3">
        <f t="shared" si="0"/>
        <v>10075181</v>
      </c>
      <c r="BN21" s="3"/>
      <c r="BO21" s="3">
        <f>GenRev!AU21-BM21</f>
        <v>2309845</v>
      </c>
      <c r="BP21" s="3"/>
      <c r="BQ21" s="3">
        <v>3141041</v>
      </c>
      <c r="BR21" s="3"/>
      <c r="BS21" s="3">
        <v>0</v>
      </c>
      <c r="BT21" s="3"/>
      <c r="BU21" s="3">
        <f t="shared" si="1"/>
        <v>5450886</v>
      </c>
      <c r="BV21" s="3"/>
      <c r="BW21" s="14">
        <f>+BU21-GenBS!AC21</f>
        <v>0</v>
      </c>
    </row>
    <row r="22" spans="1:75" s="13" customFormat="1" hidden="1">
      <c r="A22" s="3" t="s">
        <v>276</v>
      </c>
      <c r="C22" s="13" t="s">
        <v>216</v>
      </c>
      <c r="E22" s="3">
        <v>0</v>
      </c>
      <c r="F22" s="3"/>
      <c r="G22" s="3">
        <v>0</v>
      </c>
      <c r="H22" s="3"/>
      <c r="I22" s="3">
        <v>0</v>
      </c>
      <c r="J22" s="3"/>
      <c r="K22" s="3">
        <v>0</v>
      </c>
      <c r="L22" s="3"/>
      <c r="M22" s="3">
        <v>0</v>
      </c>
      <c r="N22" s="3"/>
      <c r="O22" s="3">
        <v>0</v>
      </c>
      <c r="P22" s="3"/>
      <c r="Q22" s="3">
        <v>0</v>
      </c>
      <c r="R22" s="3"/>
      <c r="S22" s="3">
        <v>0</v>
      </c>
      <c r="T22" s="3"/>
      <c r="U22" s="3">
        <v>0</v>
      </c>
      <c r="V22" s="3"/>
      <c r="W22" s="3">
        <v>0</v>
      </c>
      <c r="X22" s="3"/>
      <c r="Y22" s="3">
        <v>0</v>
      </c>
      <c r="Z22" s="3"/>
      <c r="AA22" s="3">
        <v>0</v>
      </c>
      <c r="AB22" s="3" t="s">
        <v>276</v>
      </c>
      <c r="AD22" s="13" t="s">
        <v>216</v>
      </c>
      <c r="AF22" s="3">
        <v>0</v>
      </c>
      <c r="AG22" s="3"/>
      <c r="AH22" s="3">
        <v>0</v>
      </c>
      <c r="AI22" s="3"/>
      <c r="AJ22" s="3"/>
      <c r="AK22" s="3"/>
      <c r="AL22" s="3">
        <v>0</v>
      </c>
      <c r="AM22" s="3"/>
      <c r="AN22" s="3">
        <v>0</v>
      </c>
      <c r="AO22" s="3"/>
      <c r="AP22" s="3">
        <v>0</v>
      </c>
      <c r="AQ22" s="3"/>
      <c r="AR22" s="3">
        <v>0</v>
      </c>
      <c r="AS22" s="3"/>
      <c r="AT22" s="3"/>
      <c r="AU22" s="3"/>
      <c r="AV22" s="3">
        <v>0</v>
      </c>
      <c r="AW22" s="3"/>
      <c r="AX22" s="3">
        <v>0</v>
      </c>
      <c r="AY22" s="3"/>
      <c r="AZ22" s="3">
        <f t="shared" si="2"/>
        <v>0</v>
      </c>
      <c r="BA22" s="3"/>
      <c r="BB22" s="3">
        <v>0</v>
      </c>
      <c r="BC22" s="3"/>
      <c r="BD22" s="3"/>
      <c r="BE22" s="3"/>
      <c r="BF22" s="3"/>
      <c r="BG22" s="3"/>
      <c r="BH22" s="3">
        <v>0</v>
      </c>
      <c r="BI22" s="3" t="s">
        <v>276</v>
      </c>
      <c r="BK22" s="13" t="s">
        <v>216</v>
      </c>
      <c r="BL22" s="3"/>
      <c r="BM22" s="3">
        <f t="shared" si="0"/>
        <v>0</v>
      </c>
      <c r="BN22" s="3"/>
      <c r="BO22" s="3">
        <f>GenRev!AU22-BM22</f>
        <v>0</v>
      </c>
      <c r="BP22" s="3"/>
      <c r="BQ22" s="3"/>
      <c r="BR22" s="3"/>
      <c r="BS22" s="3"/>
      <c r="BT22" s="3"/>
      <c r="BU22" s="3">
        <f t="shared" si="1"/>
        <v>0</v>
      </c>
      <c r="BV22" s="3"/>
      <c r="BW22" s="14">
        <f>+BU22-GenBS!AC22</f>
        <v>0</v>
      </c>
    </row>
    <row r="23" spans="1:75" s="13" customFormat="1">
      <c r="A23" s="3" t="s">
        <v>365</v>
      </c>
      <c r="C23" s="13" t="s">
        <v>158</v>
      </c>
      <c r="E23" s="3">
        <v>539383</v>
      </c>
      <c r="F23" s="3"/>
      <c r="G23" s="3">
        <v>165818</v>
      </c>
      <c r="H23" s="3"/>
      <c r="I23" s="3">
        <v>1816290</v>
      </c>
      <c r="J23" s="3"/>
      <c r="K23" s="3">
        <v>0</v>
      </c>
      <c r="L23" s="3"/>
      <c r="M23" s="3">
        <v>0</v>
      </c>
      <c r="N23" s="3"/>
      <c r="O23" s="3">
        <v>197995</v>
      </c>
      <c r="P23" s="3"/>
      <c r="Q23" s="3">
        <v>276052</v>
      </c>
      <c r="R23" s="3"/>
      <c r="S23" s="3">
        <v>27543</v>
      </c>
      <c r="T23" s="3"/>
      <c r="U23" s="3">
        <v>733442</v>
      </c>
      <c r="V23" s="3"/>
      <c r="W23" s="3">
        <v>272801</v>
      </c>
      <c r="X23" s="3"/>
      <c r="Y23" s="3">
        <v>0</v>
      </c>
      <c r="Z23" s="3"/>
      <c r="AA23" s="3">
        <v>709112</v>
      </c>
      <c r="AB23" s="3" t="s">
        <v>365</v>
      </c>
      <c r="AD23" s="13" t="s">
        <v>158</v>
      </c>
      <c r="AF23" s="3">
        <v>0</v>
      </c>
      <c r="AG23" s="3"/>
      <c r="AH23" s="3">
        <v>12066</v>
      </c>
      <c r="AI23" s="3"/>
      <c r="AJ23" s="3"/>
      <c r="AK23" s="3"/>
      <c r="AL23" s="3">
        <v>0</v>
      </c>
      <c r="AM23" s="3"/>
      <c r="AN23" s="3">
        <v>0</v>
      </c>
      <c r="AO23" s="3"/>
      <c r="AP23" s="3">
        <v>31566</v>
      </c>
      <c r="AQ23" s="3"/>
      <c r="AR23" s="3">
        <v>143242</v>
      </c>
      <c r="AS23" s="3"/>
      <c r="AT23" s="3"/>
      <c r="AU23" s="3"/>
      <c r="AV23" s="3">
        <v>0</v>
      </c>
      <c r="AW23" s="3"/>
      <c r="AX23" s="3">
        <v>0</v>
      </c>
      <c r="AY23" s="3"/>
      <c r="AZ23" s="3">
        <f t="shared" si="2"/>
        <v>4925310</v>
      </c>
      <c r="BA23" s="3"/>
      <c r="BB23" s="3">
        <v>1700000</v>
      </c>
      <c r="BC23" s="3"/>
      <c r="BD23" s="3"/>
      <c r="BE23" s="3"/>
      <c r="BF23" s="3"/>
      <c r="BG23" s="3"/>
      <c r="BH23" s="3">
        <v>0</v>
      </c>
      <c r="BI23" s="3" t="s">
        <v>365</v>
      </c>
      <c r="BK23" s="13" t="s">
        <v>158</v>
      </c>
      <c r="BL23" s="3"/>
      <c r="BM23" s="3">
        <f t="shared" si="0"/>
        <v>6625310</v>
      </c>
      <c r="BN23" s="3"/>
      <c r="BO23" s="3">
        <f>GenRev!AU23-BM23</f>
        <v>3085</v>
      </c>
      <c r="BP23" s="3"/>
      <c r="BQ23" s="3">
        <v>3278579</v>
      </c>
      <c r="BR23" s="3"/>
      <c r="BS23" s="3">
        <v>0</v>
      </c>
      <c r="BT23" s="3"/>
      <c r="BU23" s="3">
        <f t="shared" si="1"/>
        <v>3281664</v>
      </c>
      <c r="BV23" s="3"/>
      <c r="BW23" s="14">
        <f>+BU23-GenBS!AC23</f>
        <v>0</v>
      </c>
    </row>
    <row r="24" spans="1:75" s="13" customFormat="1">
      <c r="A24" s="3" t="s">
        <v>245</v>
      </c>
      <c r="C24" s="13" t="s">
        <v>209</v>
      </c>
      <c r="E24" s="3">
        <v>503916</v>
      </c>
      <c r="F24" s="3"/>
      <c r="G24" s="3">
        <v>0</v>
      </c>
      <c r="H24" s="3"/>
      <c r="I24" s="3">
        <v>1590216</v>
      </c>
      <c r="J24" s="3"/>
      <c r="K24" s="3">
        <v>0</v>
      </c>
      <c r="L24" s="3"/>
      <c r="M24" s="3">
        <v>0</v>
      </c>
      <c r="N24" s="3"/>
      <c r="O24" s="3">
        <v>188657</v>
      </c>
      <c r="P24" s="3"/>
      <c r="Q24" s="3">
        <v>182840</v>
      </c>
      <c r="R24" s="3"/>
      <c r="S24" s="3">
        <v>36648</v>
      </c>
      <c r="T24" s="3"/>
      <c r="U24" s="3">
        <v>223482</v>
      </c>
      <c r="V24" s="3"/>
      <c r="W24" s="3">
        <v>177035</v>
      </c>
      <c r="X24" s="3"/>
      <c r="Y24" s="3">
        <v>18387</v>
      </c>
      <c r="Z24" s="3"/>
      <c r="AA24" s="3">
        <v>454543</v>
      </c>
      <c r="AB24" s="3" t="s">
        <v>245</v>
      </c>
      <c r="AD24" s="13" t="s">
        <v>209</v>
      </c>
      <c r="AF24" s="3">
        <v>6059</v>
      </c>
      <c r="AG24" s="3"/>
      <c r="AH24" s="3">
        <v>21363</v>
      </c>
      <c r="AI24" s="3"/>
      <c r="AJ24" s="3"/>
      <c r="AK24" s="3"/>
      <c r="AL24" s="3">
        <v>0</v>
      </c>
      <c r="AM24" s="3"/>
      <c r="AN24" s="3">
        <v>0</v>
      </c>
      <c r="AO24" s="3"/>
      <c r="AP24" s="3">
        <v>14849</v>
      </c>
      <c r="AQ24" s="3"/>
      <c r="AR24" s="3">
        <v>0</v>
      </c>
      <c r="AS24" s="3"/>
      <c r="AT24" s="3"/>
      <c r="AU24" s="3"/>
      <c r="AV24" s="3">
        <v>14473</v>
      </c>
      <c r="AW24" s="3"/>
      <c r="AX24" s="3">
        <v>4205</v>
      </c>
      <c r="AY24" s="3"/>
      <c r="AZ24" s="3">
        <f t="shared" si="2"/>
        <v>3436673</v>
      </c>
      <c r="BA24" s="3"/>
      <c r="BB24" s="3">
        <v>0</v>
      </c>
      <c r="BC24" s="3"/>
      <c r="BD24" s="3"/>
      <c r="BE24" s="3"/>
      <c r="BF24" s="3"/>
      <c r="BG24" s="3"/>
      <c r="BH24" s="3">
        <v>0</v>
      </c>
      <c r="BI24" s="3" t="s">
        <v>245</v>
      </c>
      <c r="BK24" s="13" t="s">
        <v>209</v>
      </c>
      <c r="BL24" s="3"/>
      <c r="BM24" s="3">
        <f t="shared" si="0"/>
        <v>3436673</v>
      </c>
      <c r="BN24" s="3"/>
      <c r="BO24" s="3">
        <f>GenRev!AU24-BM24</f>
        <v>281371</v>
      </c>
      <c r="BP24" s="3"/>
      <c r="BQ24" s="3">
        <v>517702</v>
      </c>
      <c r="BR24" s="3"/>
      <c r="BS24" s="3">
        <v>0</v>
      </c>
      <c r="BT24" s="3"/>
      <c r="BU24" s="3">
        <f t="shared" si="1"/>
        <v>799073</v>
      </c>
      <c r="BV24" s="3"/>
      <c r="BW24" s="14">
        <f>+BU24-GenBS!AC24</f>
        <v>0</v>
      </c>
    </row>
    <row r="25" spans="1:75" s="13" customFormat="1">
      <c r="A25" s="3" t="s">
        <v>243</v>
      </c>
      <c r="C25" s="13" t="s">
        <v>159</v>
      </c>
      <c r="E25" s="3">
        <v>792545</v>
      </c>
      <c r="F25" s="3"/>
      <c r="G25" s="3">
        <v>0</v>
      </c>
      <c r="H25" s="3"/>
      <c r="I25" s="3">
        <v>4804765</v>
      </c>
      <c r="J25" s="3"/>
      <c r="K25" s="3">
        <v>0</v>
      </c>
      <c r="L25" s="3"/>
      <c r="M25" s="3">
        <v>0</v>
      </c>
      <c r="N25" s="3"/>
      <c r="O25" s="3">
        <v>989955</v>
      </c>
      <c r="P25" s="3"/>
      <c r="Q25" s="3">
        <v>1212624</v>
      </c>
      <c r="R25" s="3"/>
      <c r="S25" s="3">
        <v>34049</v>
      </c>
      <c r="T25" s="3"/>
      <c r="U25" s="3">
        <v>1844503</v>
      </c>
      <c r="V25" s="3"/>
      <c r="W25" s="3">
        <v>945811</v>
      </c>
      <c r="X25" s="3"/>
      <c r="Y25" s="3">
        <v>667182</v>
      </c>
      <c r="Z25" s="3"/>
      <c r="AA25" s="3">
        <v>1151596</v>
      </c>
      <c r="AB25" s="3" t="s">
        <v>243</v>
      </c>
      <c r="AD25" s="13" t="s">
        <v>159</v>
      </c>
      <c r="AF25" s="3">
        <v>27380</v>
      </c>
      <c r="AG25" s="3"/>
      <c r="AH25" s="3">
        <v>170643</v>
      </c>
      <c r="AI25" s="3"/>
      <c r="AJ25" s="3"/>
      <c r="AK25" s="3"/>
      <c r="AL25" s="3">
        <v>0</v>
      </c>
      <c r="AM25" s="3"/>
      <c r="AN25" s="3">
        <f>238811+1993616</f>
        <v>2232427</v>
      </c>
      <c r="AO25" s="3"/>
      <c r="AP25" s="3">
        <v>30935</v>
      </c>
      <c r="AQ25" s="3"/>
      <c r="AR25" s="3">
        <v>389250</v>
      </c>
      <c r="AS25" s="3"/>
      <c r="AT25" s="3"/>
      <c r="AU25" s="3"/>
      <c r="AV25" s="3">
        <v>49651</v>
      </c>
      <c r="AW25" s="3"/>
      <c r="AX25" s="3">
        <v>8742</v>
      </c>
      <c r="AY25" s="3"/>
      <c r="AZ25" s="3">
        <f t="shared" si="2"/>
        <v>15352058</v>
      </c>
      <c r="BA25" s="3"/>
      <c r="BB25" s="3">
        <v>267000</v>
      </c>
      <c r="BC25" s="3"/>
      <c r="BD25" s="3"/>
      <c r="BE25" s="3"/>
      <c r="BF25" s="3"/>
      <c r="BG25" s="3"/>
      <c r="BH25" s="3">
        <v>0</v>
      </c>
      <c r="BI25" s="3" t="s">
        <v>243</v>
      </c>
      <c r="BK25" s="13" t="s">
        <v>159</v>
      </c>
      <c r="BL25" s="3"/>
      <c r="BM25" s="3">
        <f t="shared" si="0"/>
        <v>15619058</v>
      </c>
      <c r="BN25" s="3"/>
      <c r="BO25" s="3">
        <f>GenRev!AU25-BM25</f>
        <v>-971643</v>
      </c>
      <c r="BP25" s="3"/>
      <c r="BQ25" s="3">
        <v>13943148</v>
      </c>
      <c r="BR25" s="3"/>
      <c r="BS25" s="3">
        <v>871</v>
      </c>
      <c r="BT25" s="3"/>
      <c r="BU25" s="3">
        <f t="shared" si="1"/>
        <v>12972376</v>
      </c>
      <c r="BV25" s="3"/>
      <c r="BW25" s="14">
        <f>+BU25-GenBS!AC25</f>
        <v>0</v>
      </c>
    </row>
    <row r="26" spans="1:75" s="13" customFormat="1">
      <c r="A26" s="3" t="s">
        <v>242</v>
      </c>
      <c r="C26" s="13" t="s">
        <v>161</v>
      </c>
      <c r="E26" s="3">
        <v>976962</v>
      </c>
      <c r="F26" s="3"/>
      <c r="G26" s="3">
        <v>187961</v>
      </c>
      <c r="H26" s="3"/>
      <c r="I26" s="3">
        <v>4837294</v>
      </c>
      <c r="J26" s="3"/>
      <c r="K26" s="3">
        <v>19280</v>
      </c>
      <c r="L26" s="3"/>
      <c r="M26" s="3">
        <v>105374</v>
      </c>
      <c r="N26" s="3"/>
      <c r="O26" s="3">
        <v>629353</v>
      </c>
      <c r="P26" s="3"/>
      <c r="Q26" s="3">
        <v>380158</v>
      </c>
      <c r="R26" s="3"/>
      <c r="S26" s="3">
        <v>88990</v>
      </c>
      <c r="T26" s="3"/>
      <c r="U26" s="3">
        <v>1344373</v>
      </c>
      <c r="V26" s="3"/>
      <c r="W26" s="3">
        <v>715705</v>
      </c>
      <c r="X26" s="3"/>
      <c r="Y26" s="3">
        <v>0</v>
      </c>
      <c r="Z26" s="3"/>
      <c r="AA26" s="3">
        <v>1379559</v>
      </c>
      <c r="AB26" s="3" t="s">
        <v>242</v>
      </c>
      <c r="AD26" s="13" t="s">
        <v>161</v>
      </c>
      <c r="AF26" s="3">
        <v>37390</v>
      </c>
      <c r="AG26" s="3"/>
      <c r="AH26" s="3">
        <v>931335</v>
      </c>
      <c r="AI26" s="3"/>
      <c r="AJ26" s="3"/>
      <c r="AK26" s="3"/>
      <c r="AL26" s="3">
        <v>0</v>
      </c>
      <c r="AM26" s="3"/>
      <c r="AN26" s="3">
        <v>7662</v>
      </c>
      <c r="AO26" s="3"/>
      <c r="AP26" s="3">
        <v>17041</v>
      </c>
      <c r="AQ26" s="3"/>
      <c r="AR26" s="3">
        <v>151726</v>
      </c>
      <c r="AS26" s="3"/>
      <c r="AT26" s="3"/>
      <c r="AU26" s="3"/>
      <c r="AV26" s="3">
        <v>27484</v>
      </c>
      <c r="AW26" s="3"/>
      <c r="AX26" s="3">
        <v>6745</v>
      </c>
      <c r="AY26" s="3"/>
      <c r="AZ26" s="3">
        <f t="shared" si="2"/>
        <v>11844392</v>
      </c>
      <c r="BA26" s="3"/>
      <c r="BB26" s="3">
        <v>757330</v>
      </c>
      <c r="BC26" s="3"/>
      <c r="BD26" s="3"/>
      <c r="BE26" s="3"/>
      <c r="BF26" s="3"/>
      <c r="BG26" s="3"/>
      <c r="BH26" s="3">
        <v>0</v>
      </c>
      <c r="BI26" s="3" t="s">
        <v>242</v>
      </c>
      <c r="BK26" s="13" t="s">
        <v>161</v>
      </c>
      <c r="BL26" s="3"/>
      <c r="BM26" s="3">
        <f t="shared" si="0"/>
        <v>12601722</v>
      </c>
      <c r="BN26" s="3"/>
      <c r="BO26" s="3">
        <f>GenRev!AU26-BM26</f>
        <v>2209656</v>
      </c>
      <c r="BP26" s="3"/>
      <c r="BQ26" s="3">
        <v>18520916</v>
      </c>
      <c r="BR26" s="3"/>
      <c r="BS26" s="3">
        <v>0</v>
      </c>
      <c r="BT26" s="3"/>
      <c r="BU26" s="3">
        <f t="shared" si="1"/>
        <v>20730572</v>
      </c>
      <c r="BV26" s="3"/>
      <c r="BW26" s="14">
        <f>+BU26-GenBS!AC26</f>
        <v>0</v>
      </c>
    </row>
    <row r="27" spans="1:75" s="13" customFormat="1">
      <c r="A27" s="3" t="s">
        <v>367</v>
      </c>
      <c r="C27" s="13" t="s">
        <v>164</v>
      </c>
      <c r="E27" s="3">
        <v>3632441</v>
      </c>
      <c r="F27" s="3"/>
      <c r="G27" s="3">
        <v>1238145</v>
      </c>
      <c r="H27" s="3"/>
      <c r="I27" s="3">
        <v>6666781</v>
      </c>
      <c r="J27" s="3"/>
      <c r="K27" s="3">
        <v>0</v>
      </c>
      <c r="L27" s="3"/>
      <c r="M27" s="3">
        <v>275763</v>
      </c>
      <c r="N27" s="3"/>
      <c r="O27" s="3">
        <v>683327</v>
      </c>
      <c r="P27" s="3"/>
      <c r="Q27" s="3">
        <v>420126</v>
      </c>
      <c r="R27" s="3"/>
      <c r="S27" s="3">
        <v>32142</v>
      </c>
      <c r="T27" s="3"/>
      <c r="U27" s="3">
        <v>2524225</v>
      </c>
      <c r="V27" s="3"/>
      <c r="W27" s="3">
        <v>775675</v>
      </c>
      <c r="X27" s="3"/>
      <c r="Y27" s="3">
        <v>4992</v>
      </c>
      <c r="Z27" s="3"/>
      <c r="AA27" s="3">
        <v>2429112</v>
      </c>
      <c r="AB27" s="3" t="s">
        <v>367</v>
      </c>
      <c r="AD27" s="13" t="s">
        <v>164</v>
      </c>
      <c r="AF27" s="3">
        <v>47721</v>
      </c>
      <c r="AG27" s="3"/>
      <c r="AH27" s="3">
        <v>501730</v>
      </c>
      <c r="AI27" s="3"/>
      <c r="AJ27" s="3"/>
      <c r="AK27" s="3"/>
      <c r="AL27" s="3">
        <v>0</v>
      </c>
      <c r="AM27" s="3"/>
      <c r="AN27" s="3">
        <v>2874</v>
      </c>
      <c r="AO27" s="3"/>
      <c r="AP27" s="3">
        <v>53359</v>
      </c>
      <c r="AQ27" s="3"/>
      <c r="AR27" s="3">
        <v>1972624</v>
      </c>
      <c r="AS27" s="3"/>
      <c r="AT27" s="3"/>
      <c r="AU27" s="3"/>
      <c r="AV27" s="3">
        <v>0</v>
      </c>
      <c r="AW27" s="3"/>
      <c r="AX27" s="3">
        <v>0</v>
      </c>
      <c r="AY27" s="3"/>
      <c r="AZ27" s="3">
        <f t="shared" si="2"/>
        <v>21261037</v>
      </c>
      <c r="BA27" s="3"/>
      <c r="BB27" s="3">
        <v>392078</v>
      </c>
      <c r="BC27" s="3"/>
      <c r="BD27" s="3"/>
      <c r="BE27" s="3"/>
      <c r="BF27" s="3"/>
      <c r="BG27" s="3"/>
      <c r="BH27" s="3">
        <v>0</v>
      </c>
      <c r="BI27" s="3" t="s">
        <v>367</v>
      </c>
      <c r="BK27" s="13" t="s">
        <v>164</v>
      </c>
      <c r="BL27" s="3"/>
      <c r="BM27" s="3">
        <f t="shared" si="0"/>
        <v>21653115</v>
      </c>
      <c r="BN27" s="3"/>
      <c r="BO27" s="3">
        <f>GenRev!AU27-BM27</f>
        <v>-2265093</v>
      </c>
      <c r="BP27" s="3"/>
      <c r="BQ27" s="3">
        <v>19413003</v>
      </c>
      <c r="BR27" s="3"/>
      <c r="BS27" s="3">
        <v>0</v>
      </c>
      <c r="BT27" s="3"/>
      <c r="BU27" s="3">
        <f t="shared" si="1"/>
        <v>17147910</v>
      </c>
      <c r="BV27" s="3"/>
      <c r="BW27" s="14">
        <f>+BU27-GenBS!AC27</f>
        <v>0</v>
      </c>
    </row>
    <row r="28" spans="1:75" s="13" customFormat="1">
      <c r="A28" s="3" t="s">
        <v>244</v>
      </c>
      <c r="C28" s="13" t="s">
        <v>162</v>
      </c>
      <c r="E28" s="3">
        <v>883027</v>
      </c>
      <c r="F28" s="3"/>
      <c r="G28" s="3">
        <v>483574</v>
      </c>
      <c r="H28" s="3"/>
      <c r="I28" s="3">
        <v>5265658</v>
      </c>
      <c r="J28" s="3"/>
      <c r="K28" s="3">
        <v>0</v>
      </c>
      <c r="L28" s="3"/>
      <c r="M28" s="3">
        <v>0</v>
      </c>
      <c r="N28" s="3"/>
      <c r="O28" s="3">
        <v>626466</v>
      </c>
      <c r="P28" s="3"/>
      <c r="Q28" s="3">
        <v>308439</v>
      </c>
      <c r="R28" s="3"/>
      <c r="S28" s="3">
        <v>66061</v>
      </c>
      <c r="T28" s="3"/>
      <c r="U28" s="3">
        <v>1410302</v>
      </c>
      <c r="V28" s="3"/>
      <c r="W28" s="3">
        <v>433785</v>
      </c>
      <c r="X28" s="3"/>
      <c r="Y28" s="3">
        <v>313885</v>
      </c>
      <c r="Z28" s="3"/>
      <c r="AA28" s="3">
        <v>1531698</v>
      </c>
      <c r="AB28" s="3" t="s">
        <v>244</v>
      </c>
      <c r="AD28" s="13" t="s">
        <v>162</v>
      </c>
      <c r="AF28" s="3">
        <v>45704</v>
      </c>
      <c r="AG28" s="3"/>
      <c r="AH28" s="3">
        <v>522136</v>
      </c>
      <c r="AI28" s="3"/>
      <c r="AJ28" s="3"/>
      <c r="AK28" s="3"/>
      <c r="AL28" s="3">
        <v>0</v>
      </c>
      <c r="AM28" s="3"/>
      <c r="AN28" s="3">
        <v>279735</v>
      </c>
      <c r="AO28" s="3"/>
      <c r="AP28" s="3">
        <v>0</v>
      </c>
      <c r="AQ28" s="3"/>
      <c r="AR28" s="3">
        <v>250131</v>
      </c>
      <c r="AS28" s="3"/>
      <c r="AT28" s="3"/>
      <c r="AU28" s="3"/>
      <c r="AV28" s="3">
        <v>248295</v>
      </c>
      <c r="AW28" s="3"/>
      <c r="AX28" s="3">
        <v>153347</v>
      </c>
      <c r="AY28" s="3"/>
      <c r="AZ28" s="3">
        <f t="shared" si="2"/>
        <v>12822243</v>
      </c>
      <c r="BA28" s="3"/>
      <c r="BB28" s="3">
        <v>550000</v>
      </c>
      <c r="BC28" s="3"/>
      <c r="BD28" s="3"/>
      <c r="BE28" s="3"/>
      <c r="BF28" s="3"/>
      <c r="BG28" s="3"/>
      <c r="BH28" s="3">
        <v>0</v>
      </c>
      <c r="BI28" s="3" t="s">
        <v>244</v>
      </c>
      <c r="BK28" s="13" t="s">
        <v>162</v>
      </c>
      <c r="BL28" s="3"/>
      <c r="BM28" s="3">
        <f t="shared" si="0"/>
        <v>13372243</v>
      </c>
      <c r="BN28" s="3"/>
      <c r="BO28" s="3">
        <f>GenRev!AU28-BM28</f>
        <v>-116479</v>
      </c>
      <c r="BP28" s="3"/>
      <c r="BQ28" s="3">
        <v>5147225</v>
      </c>
      <c r="BR28" s="3"/>
      <c r="BS28" s="3">
        <v>-1591</v>
      </c>
      <c r="BT28" s="3"/>
      <c r="BU28" s="3">
        <f t="shared" si="1"/>
        <v>5029155</v>
      </c>
      <c r="BV28" s="3"/>
      <c r="BW28" s="14">
        <f>+BU28-GenBS!AC28</f>
        <v>0</v>
      </c>
    </row>
    <row r="29" spans="1:75" s="13" customFormat="1">
      <c r="A29" s="3" t="s">
        <v>246</v>
      </c>
      <c r="C29" s="13" t="s">
        <v>211</v>
      </c>
      <c r="E29" s="3">
        <v>35749</v>
      </c>
      <c r="F29" s="3"/>
      <c r="G29" s="3">
        <v>13</v>
      </c>
      <c r="H29" s="3"/>
      <c r="I29" s="3">
        <v>9930240</v>
      </c>
      <c r="J29" s="3"/>
      <c r="K29" s="3">
        <v>204762</v>
      </c>
      <c r="L29" s="3"/>
      <c r="M29" s="3">
        <v>0</v>
      </c>
      <c r="N29" s="3"/>
      <c r="O29" s="3">
        <v>1573799</v>
      </c>
      <c r="P29" s="3"/>
      <c r="Q29" s="3">
        <v>492262</v>
      </c>
      <c r="R29" s="3"/>
      <c r="S29" s="3">
        <v>79194</v>
      </c>
      <c r="T29" s="3"/>
      <c r="U29" s="3">
        <v>1426386</v>
      </c>
      <c r="V29" s="3"/>
      <c r="W29" s="3">
        <v>503778</v>
      </c>
      <c r="X29" s="3"/>
      <c r="Y29" s="3">
        <v>82132</v>
      </c>
      <c r="Z29" s="3"/>
      <c r="AA29" s="3">
        <v>1244807</v>
      </c>
      <c r="AB29" s="3" t="s">
        <v>246</v>
      </c>
      <c r="AD29" s="13" t="s">
        <v>211</v>
      </c>
      <c r="AF29" s="3">
        <v>25683</v>
      </c>
      <c r="AG29" s="3"/>
      <c r="AH29" s="3">
        <v>300347</v>
      </c>
      <c r="AI29" s="3"/>
      <c r="AJ29" s="3"/>
      <c r="AK29" s="3"/>
      <c r="AL29" s="3">
        <v>0</v>
      </c>
      <c r="AM29" s="3"/>
      <c r="AN29" s="3">
        <v>2129</v>
      </c>
      <c r="AO29" s="3"/>
      <c r="AP29" s="3">
        <v>100428</v>
      </c>
      <c r="AQ29" s="3"/>
      <c r="AR29" s="3">
        <v>0</v>
      </c>
      <c r="AS29" s="3"/>
      <c r="AT29" s="3"/>
      <c r="AU29" s="3"/>
      <c r="AV29" s="3">
        <v>0</v>
      </c>
      <c r="AW29" s="3"/>
      <c r="AX29" s="3">
        <v>0</v>
      </c>
      <c r="AY29" s="3"/>
      <c r="AZ29" s="3">
        <f t="shared" si="2"/>
        <v>16001709</v>
      </c>
      <c r="BA29" s="3"/>
      <c r="BB29" s="3">
        <v>100000</v>
      </c>
      <c r="BC29" s="3"/>
      <c r="BD29" s="3"/>
      <c r="BE29" s="3"/>
      <c r="BF29" s="3"/>
      <c r="BG29" s="3"/>
      <c r="BH29" s="3">
        <v>0</v>
      </c>
      <c r="BI29" s="3" t="s">
        <v>246</v>
      </c>
      <c r="BK29" s="13" t="s">
        <v>211</v>
      </c>
      <c r="BL29" s="3"/>
      <c r="BM29" s="3">
        <f t="shared" si="0"/>
        <v>16101709</v>
      </c>
      <c r="BN29" s="3"/>
      <c r="BO29" s="3">
        <f>GenRev!AU29-BM29</f>
        <v>-1481080</v>
      </c>
      <c r="BP29" s="3"/>
      <c r="BQ29" s="3">
        <v>7573882</v>
      </c>
      <c r="BR29" s="3"/>
      <c r="BS29" s="3">
        <v>0</v>
      </c>
      <c r="BT29" s="3"/>
      <c r="BU29" s="3">
        <f t="shared" si="1"/>
        <v>6092802</v>
      </c>
      <c r="BV29" s="3"/>
      <c r="BW29" s="14">
        <f>+BU29-GenBS!AC29</f>
        <v>0</v>
      </c>
    </row>
    <row r="30" spans="1:75" s="13" customFormat="1">
      <c r="A30" s="3" t="s">
        <v>210</v>
      </c>
      <c r="C30" s="13" t="s">
        <v>167</v>
      </c>
      <c r="E30" s="3">
        <v>80787</v>
      </c>
      <c r="F30" s="3"/>
      <c r="G30" s="3">
        <v>0</v>
      </c>
      <c r="H30" s="3"/>
      <c r="I30" s="3">
        <v>4484992</v>
      </c>
      <c r="J30" s="3"/>
      <c r="K30" s="3">
        <v>57500</v>
      </c>
      <c r="L30" s="3"/>
      <c r="M30" s="3">
        <v>0</v>
      </c>
      <c r="N30" s="3"/>
      <c r="O30" s="3">
        <v>382656</v>
      </c>
      <c r="P30" s="3"/>
      <c r="Q30" s="3">
        <v>271462</v>
      </c>
      <c r="R30" s="3"/>
      <c r="S30" s="3">
        <v>71436</v>
      </c>
      <c r="T30" s="3"/>
      <c r="U30" s="3">
        <v>484774</v>
      </c>
      <c r="V30" s="3"/>
      <c r="W30" s="3">
        <v>359590</v>
      </c>
      <c r="X30" s="3"/>
      <c r="Y30" s="3">
        <v>58525</v>
      </c>
      <c r="Z30" s="3"/>
      <c r="AA30" s="3">
        <v>886191</v>
      </c>
      <c r="AB30" s="3" t="s">
        <v>210</v>
      </c>
      <c r="AD30" s="13" t="s">
        <v>167</v>
      </c>
      <c r="AF30" s="3">
        <v>17185</v>
      </c>
      <c r="AG30" s="3"/>
      <c r="AH30" s="3">
        <v>237101</v>
      </c>
      <c r="AI30" s="3"/>
      <c r="AJ30" s="3"/>
      <c r="AK30" s="3"/>
      <c r="AL30" s="3">
        <v>0</v>
      </c>
      <c r="AM30" s="3"/>
      <c r="AN30" s="3">
        <v>0</v>
      </c>
      <c r="AO30" s="3"/>
      <c r="AP30" s="3">
        <v>12460</v>
      </c>
      <c r="AQ30" s="3"/>
      <c r="AR30" s="3">
        <v>0</v>
      </c>
      <c r="AS30" s="3"/>
      <c r="AT30" s="3"/>
      <c r="AU30" s="3"/>
      <c r="AV30" s="3">
        <v>204000</v>
      </c>
      <c r="AW30" s="3"/>
      <c r="AX30" s="3">
        <v>56794</v>
      </c>
      <c r="AY30" s="3"/>
      <c r="AZ30" s="3">
        <f t="shared" si="2"/>
        <v>7665453</v>
      </c>
      <c r="BA30" s="3"/>
      <c r="BB30" s="3">
        <v>188672</v>
      </c>
      <c r="BC30" s="3"/>
      <c r="BD30" s="3"/>
      <c r="BE30" s="3"/>
      <c r="BF30" s="3"/>
      <c r="BG30" s="3"/>
      <c r="BH30" s="3">
        <v>0</v>
      </c>
      <c r="BI30" s="3" t="s">
        <v>210</v>
      </c>
      <c r="BK30" s="13" t="s">
        <v>167</v>
      </c>
      <c r="BL30" s="3"/>
      <c r="BM30" s="3">
        <f t="shared" si="0"/>
        <v>7854125</v>
      </c>
      <c r="BN30" s="3"/>
      <c r="BO30" s="3">
        <f>GenRev!AU30-BM30</f>
        <v>-82545</v>
      </c>
      <c r="BP30" s="3"/>
      <c r="BQ30" s="3">
        <v>1536742</v>
      </c>
      <c r="BR30" s="3"/>
      <c r="BS30" s="3">
        <v>0</v>
      </c>
      <c r="BT30" s="3"/>
      <c r="BU30" s="3">
        <f t="shared" si="1"/>
        <v>1454197</v>
      </c>
      <c r="BV30" s="3"/>
      <c r="BW30" s="14">
        <f>+BU30-GenBS!AC30</f>
        <v>0</v>
      </c>
    </row>
    <row r="31" spans="1:75" s="13" customFormat="1">
      <c r="A31" s="3" t="s">
        <v>368</v>
      </c>
      <c r="C31" s="13" t="s">
        <v>170</v>
      </c>
      <c r="E31" s="3">
        <v>7152306</v>
      </c>
      <c r="F31" s="3"/>
      <c r="G31" s="3">
        <v>0</v>
      </c>
      <c r="H31" s="3"/>
      <c r="I31" s="3">
        <v>22505062</v>
      </c>
      <c r="J31" s="3"/>
      <c r="K31" s="3">
        <v>334597</v>
      </c>
      <c r="L31" s="3"/>
      <c r="M31" s="3">
        <v>0</v>
      </c>
      <c r="N31" s="3"/>
      <c r="O31" s="3">
        <v>2049327</v>
      </c>
      <c r="P31" s="3"/>
      <c r="Q31" s="3">
        <v>2211931</v>
      </c>
      <c r="R31" s="3"/>
      <c r="S31" s="3">
        <v>365033</v>
      </c>
      <c r="T31" s="3"/>
      <c r="U31" s="3">
        <v>3653207</v>
      </c>
      <c r="V31" s="3"/>
      <c r="W31" s="3">
        <v>1906263</v>
      </c>
      <c r="X31" s="3"/>
      <c r="Y31" s="3">
        <v>1116907</v>
      </c>
      <c r="Z31" s="3"/>
      <c r="AA31" s="3">
        <v>6454778</v>
      </c>
      <c r="AB31" s="3" t="s">
        <v>368</v>
      </c>
      <c r="AD31" s="13" t="s">
        <v>170</v>
      </c>
      <c r="AF31" s="3">
        <v>456907</v>
      </c>
      <c r="AG31" s="3"/>
      <c r="AH31" s="3">
        <v>3135308</v>
      </c>
      <c r="AI31" s="3"/>
      <c r="AJ31" s="3"/>
      <c r="AK31" s="3"/>
      <c r="AL31" s="3">
        <v>0</v>
      </c>
      <c r="AM31" s="3"/>
      <c r="AN31" s="3">
        <v>208101</v>
      </c>
      <c r="AO31" s="3"/>
      <c r="AP31" s="3">
        <v>2616</v>
      </c>
      <c r="AQ31" s="3"/>
      <c r="AR31" s="3">
        <v>0</v>
      </c>
      <c r="AS31" s="3"/>
      <c r="AT31" s="3"/>
      <c r="AU31" s="3"/>
      <c r="AV31" s="3">
        <v>0</v>
      </c>
      <c r="AW31" s="3"/>
      <c r="AX31" s="3">
        <v>0</v>
      </c>
      <c r="AY31" s="3"/>
      <c r="AZ31" s="3">
        <f t="shared" si="2"/>
        <v>51552343</v>
      </c>
      <c r="BA31" s="3"/>
      <c r="BB31" s="3">
        <v>7587361</v>
      </c>
      <c r="BC31" s="3"/>
      <c r="BD31" s="3"/>
      <c r="BE31" s="3"/>
      <c r="BF31" s="3"/>
      <c r="BG31" s="3"/>
      <c r="BH31" s="3">
        <v>0</v>
      </c>
      <c r="BI31" s="3" t="s">
        <v>368</v>
      </c>
      <c r="BK31" s="13" t="s">
        <v>170</v>
      </c>
      <c r="BL31" s="3"/>
      <c r="BM31" s="3">
        <f t="shared" si="0"/>
        <v>59139704</v>
      </c>
      <c r="BN31" s="3"/>
      <c r="BO31" s="3">
        <f>GenRev!AU31-BM31</f>
        <v>-923960</v>
      </c>
      <c r="BP31" s="3"/>
      <c r="BQ31" s="3">
        <v>37160406</v>
      </c>
      <c r="BR31" s="3"/>
      <c r="BS31" s="3">
        <v>0</v>
      </c>
      <c r="BT31" s="3"/>
      <c r="BU31" s="3">
        <f t="shared" si="1"/>
        <v>36236446</v>
      </c>
      <c r="BV31" s="3"/>
      <c r="BW31" s="14">
        <f>+BU31-GenBS!AC31</f>
        <v>0</v>
      </c>
    </row>
    <row r="32" spans="1:75" s="13" customFormat="1">
      <c r="A32" s="3" t="s">
        <v>321</v>
      </c>
      <c r="C32" s="13" t="s">
        <v>169</v>
      </c>
      <c r="E32" s="3">
        <v>875204</v>
      </c>
      <c r="F32" s="3"/>
      <c r="G32" s="3">
        <v>0</v>
      </c>
      <c r="H32" s="3"/>
      <c r="I32" s="3">
        <v>6694334</v>
      </c>
      <c r="J32" s="3"/>
      <c r="K32" s="3">
        <v>0</v>
      </c>
      <c r="L32" s="3"/>
      <c r="M32" s="3">
        <v>0</v>
      </c>
      <c r="N32" s="3"/>
      <c r="O32" s="3">
        <v>785440</v>
      </c>
      <c r="P32" s="3"/>
      <c r="Q32" s="3">
        <v>1300405</v>
      </c>
      <c r="R32" s="3"/>
      <c r="S32" s="3">
        <v>315058</v>
      </c>
      <c r="T32" s="3"/>
      <c r="U32" s="3">
        <v>678135</v>
      </c>
      <c r="V32" s="3"/>
      <c r="W32" s="3">
        <v>471866</v>
      </c>
      <c r="X32" s="3"/>
      <c r="Y32" s="3">
        <v>0</v>
      </c>
      <c r="Z32" s="3"/>
      <c r="AA32" s="3">
        <v>1142901</v>
      </c>
      <c r="AB32" s="3" t="s">
        <v>321</v>
      </c>
      <c r="AD32" s="13" t="s">
        <v>169</v>
      </c>
      <c r="AF32" s="3">
        <v>0</v>
      </c>
      <c r="AG32" s="3"/>
      <c r="AH32" s="3">
        <v>222122</v>
      </c>
      <c r="AI32" s="3"/>
      <c r="AJ32" s="3"/>
      <c r="AK32" s="3"/>
      <c r="AL32" s="3">
        <v>0</v>
      </c>
      <c r="AM32" s="3"/>
      <c r="AN32" s="3">
        <v>16169</v>
      </c>
      <c r="AO32" s="3"/>
      <c r="AP32" s="3">
        <v>0</v>
      </c>
      <c r="AQ32" s="3"/>
      <c r="AR32" s="3">
        <v>0</v>
      </c>
      <c r="AS32" s="3"/>
      <c r="AT32" s="3"/>
      <c r="AU32" s="3"/>
      <c r="AV32" s="3">
        <v>0</v>
      </c>
      <c r="AW32" s="3"/>
      <c r="AX32" s="3">
        <v>0</v>
      </c>
      <c r="AY32" s="3"/>
      <c r="AZ32" s="3">
        <f t="shared" si="2"/>
        <v>12501634</v>
      </c>
      <c r="BA32" s="3"/>
      <c r="BB32" s="3">
        <v>440347</v>
      </c>
      <c r="BC32" s="3"/>
      <c r="BD32" s="3"/>
      <c r="BE32" s="3"/>
      <c r="BF32" s="3"/>
      <c r="BG32" s="3"/>
      <c r="BH32" s="3">
        <v>0</v>
      </c>
      <c r="BI32" s="3" t="s">
        <v>321</v>
      </c>
      <c r="BK32" s="13" t="s">
        <v>169</v>
      </c>
      <c r="BL32" s="3"/>
      <c r="BM32" s="3">
        <f t="shared" si="0"/>
        <v>12941981</v>
      </c>
      <c r="BN32" s="3"/>
      <c r="BO32" s="3">
        <f>GenRev!AU32-BM32</f>
        <v>-45766</v>
      </c>
      <c r="BP32" s="3"/>
      <c r="BQ32" s="3">
        <v>4193045</v>
      </c>
      <c r="BR32" s="3"/>
      <c r="BS32" s="3">
        <v>0</v>
      </c>
      <c r="BT32" s="3"/>
      <c r="BU32" s="3">
        <f t="shared" si="1"/>
        <v>4147279</v>
      </c>
      <c r="BV32" s="3"/>
      <c r="BW32" s="14">
        <f>+BU32-GenBS!AC32</f>
        <v>0</v>
      </c>
    </row>
    <row r="33" spans="1:75" s="13" customFormat="1">
      <c r="A33" s="3" t="s">
        <v>212</v>
      </c>
      <c r="C33" s="13" t="s">
        <v>172</v>
      </c>
      <c r="E33" s="3">
        <v>207152</v>
      </c>
      <c r="F33" s="3"/>
      <c r="G33" s="3">
        <v>252920</v>
      </c>
      <c r="H33" s="3"/>
      <c r="I33" s="3">
        <v>2221859</v>
      </c>
      <c r="J33" s="3"/>
      <c r="K33" s="3">
        <v>5821</v>
      </c>
      <c r="L33" s="3"/>
      <c r="M33" s="3">
        <v>23</v>
      </c>
      <c r="N33" s="3"/>
      <c r="O33" s="3">
        <v>194271</v>
      </c>
      <c r="P33" s="3"/>
      <c r="Q33" s="3">
        <v>320832</v>
      </c>
      <c r="R33" s="3"/>
      <c r="S33" s="3">
        <v>48718</v>
      </c>
      <c r="T33" s="3"/>
      <c r="U33" s="3">
        <v>216920</v>
      </c>
      <c r="V33" s="3"/>
      <c r="W33" s="3">
        <v>275332</v>
      </c>
      <c r="X33" s="3"/>
      <c r="Y33" s="3">
        <v>0</v>
      </c>
      <c r="Z33" s="3"/>
      <c r="AA33" s="3">
        <v>645899</v>
      </c>
      <c r="AB33" s="3" t="s">
        <v>212</v>
      </c>
      <c r="AD33" s="13" t="s">
        <v>172</v>
      </c>
      <c r="AF33" s="3">
        <v>0</v>
      </c>
      <c r="AG33" s="3"/>
      <c r="AH33" s="3">
        <v>3175</v>
      </c>
      <c r="AI33" s="3"/>
      <c r="AJ33" s="3"/>
      <c r="AK33" s="3"/>
      <c r="AL33" s="3">
        <v>0</v>
      </c>
      <c r="AM33" s="3"/>
      <c r="AN33" s="3">
        <v>0</v>
      </c>
      <c r="AO33" s="3"/>
      <c r="AP33" s="3">
        <v>0</v>
      </c>
      <c r="AQ33" s="3"/>
      <c r="AR33" s="3">
        <v>0</v>
      </c>
      <c r="AS33" s="3"/>
      <c r="AT33" s="3"/>
      <c r="AU33" s="3"/>
      <c r="AV33" s="3">
        <v>0</v>
      </c>
      <c r="AW33" s="3"/>
      <c r="AX33" s="3">
        <v>0</v>
      </c>
      <c r="AY33" s="3"/>
      <c r="AZ33" s="3">
        <f t="shared" si="2"/>
        <v>4392922</v>
      </c>
      <c r="BA33" s="3"/>
      <c r="BB33" s="3">
        <v>88113</v>
      </c>
      <c r="BC33" s="3"/>
      <c r="BD33" s="3"/>
      <c r="BE33" s="3"/>
      <c r="BF33" s="3"/>
      <c r="BG33" s="3"/>
      <c r="BH33" s="3">
        <v>0</v>
      </c>
      <c r="BI33" s="3" t="s">
        <v>212</v>
      </c>
      <c r="BK33" s="13" t="s">
        <v>172</v>
      </c>
      <c r="BL33" s="3"/>
      <c r="BM33" s="3">
        <f t="shared" si="0"/>
        <v>4481035</v>
      </c>
      <c r="BN33" s="3"/>
      <c r="BO33" s="3">
        <f>GenRev!AU33-BM33</f>
        <v>566557</v>
      </c>
      <c r="BP33" s="3"/>
      <c r="BQ33" s="3">
        <v>-200579</v>
      </c>
      <c r="BR33" s="3"/>
      <c r="BS33" s="3">
        <v>0</v>
      </c>
      <c r="BT33" s="3"/>
      <c r="BU33" s="3">
        <f t="shared" si="1"/>
        <v>365978</v>
      </c>
      <c r="BV33" s="3"/>
      <c r="BW33" s="14">
        <f>+BU33-GenBS!AC33</f>
        <v>0</v>
      </c>
    </row>
    <row r="34" spans="1:75" s="13" customFormat="1">
      <c r="A34" s="3" t="s">
        <v>247</v>
      </c>
      <c r="C34" s="13" t="s">
        <v>173</v>
      </c>
      <c r="E34" s="3">
        <v>83054</v>
      </c>
      <c r="F34" s="3"/>
      <c r="G34" s="3">
        <v>0</v>
      </c>
      <c r="H34" s="3"/>
      <c r="I34" s="3">
        <v>5195463</v>
      </c>
      <c r="J34" s="3"/>
      <c r="K34" s="3">
        <v>0</v>
      </c>
      <c r="L34" s="3"/>
      <c r="M34" s="3">
        <v>0</v>
      </c>
      <c r="N34" s="3"/>
      <c r="O34" s="3">
        <v>511901</v>
      </c>
      <c r="P34" s="3"/>
      <c r="Q34" s="3">
        <v>551981</v>
      </c>
      <c r="R34" s="3"/>
      <c r="S34" s="3">
        <v>17885</v>
      </c>
      <c r="T34" s="3"/>
      <c r="U34" s="3">
        <v>695235</v>
      </c>
      <c r="V34" s="3"/>
      <c r="W34" s="3">
        <v>425842</v>
      </c>
      <c r="X34" s="3"/>
      <c r="Y34" s="3">
        <v>50134</v>
      </c>
      <c r="Z34" s="3"/>
      <c r="AA34" s="3">
        <v>1259392</v>
      </c>
      <c r="AB34" s="3" t="s">
        <v>247</v>
      </c>
      <c r="AD34" s="13" t="s">
        <v>173</v>
      </c>
      <c r="AF34" s="3">
        <v>0</v>
      </c>
      <c r="AG34" s="3"/>
      <c r="AH34" s="3">
        <v>98554</v>
      </c>
      <c r="AI34" s="3"/>
      <c r="AJ34" s="3"/>
      <c r="AK34" s="3"/>
      <c r="AL34" s="3">
        <v>0</v>
      </c>
      <c r="AM34" s="3"/>
      <c r="AN34" s="3">
        <v>0</v>
      </c>
      <c r="AO34" s="3"/>
      <c r="AP34" s="3">
        <v>19997</v>
      </c>
      <c r="AQ34" s="3"/>
      <c r="AR34" s="3">
        <v>69182</v>
      </c>
      <c r="AS34" s="3"/>
      <c r="AT34" s="3"/>
      <c r="AU34" s="3"/>
      <c r="AV34" s="3">
        <v>227506</v>
      </c>
      <c r="AW34" s="3"/>
      <c r="AX34" s="3">
        <v>206012</v>
      </c>
      <c r="AY34" s="3"/>
      <c r="AZ34" s="3">
        <f t="shared" si="2"/>
        <v>9412138</v>
      </c>
      <c r="BA34" s="3"/>
      <c r="BB34" s="3">
        <v>257607</v>
      </c>
      <c r="BC34" s="3"/>
      <c r="BD34" s="3"/>
      <c r="BE34" s="3"/>
      <c r="BF34" s="3"/>
      <c r="BG34" s="3"/>
      <c r="BH34" s="3">
        <v>0</v>
      </c>
      <c r="BI34" s="3" t="s">
        <v>247</v>
      </c>
      <c r="BK34" s="13" t="s">
        <v>173</v>
      </c>
      <c r="BL34" s="3"/>
      <c r="BM34" s="3">
        <f t="shared" si="0"/>
        <v>9669745</v>
      </c>
      <c r="BN34" s="3"/>
      <c r="BO34" s="3">
        <f>GenRev!AU34-BM34</f>
        <v>-306696</v>
      </c>
      <c r="BP34" s="3"/>
      <c r="BQ34" s="3">
        <v>11711804</v>
      </c>
      <c r="BR34" s="3"/>
      <c r="BS34" s="3">
        <v>0</v>
      </c>
      <c r="BT34" s="3"/>
      <c r="BU34" s="3">
        <f t="shared" si="1"/>
        <v>11405108</v>
      </c>
      <c r="BV34" s="3"/>
      <c r="BW34" s="14">
        <f>+BU34-GenBS!AC34</f>
        <v>0</v>
      </c>
    </row>
    <row r="35" spans="1:75" s="13" customFormat="1">
      <c r="A35" s="3" t="s">
        <v>213</v>
      </c>
      <c r="C35" s="13" t="s">
        <v>174</v>
      </c>
      <c r="E35" s="3">
        <v>0</v>
      </c>
      <c r="F35" s="3"/>
      <c r="G35" s="3">
        <v>0</v>
      </c>
      <c r="H35" s="3"/>
      <c r="I35" s="3">
        <v>5156146</v>
      </c>
      <c r="J35" s="3"/>
      <c r="K35" s="3">
        <v>1031</v>
      </c>
      <c r="L35" s="3"/>
      <c r="M35" s="3">
        <v>0</v>
      </c>
      <c r="N35" s="3"/>
      <c r="O35" s="3">
        <v>97141</v>
      </c>
      <c r="P35" s="3"/>
      <c r="Q35" s="3">
        <v>31276</v>
      </c>
      <c r="R35" s="3"/>
      <c r="S35" s="3">
        <v>57693</v>
      </c>
      <c r="T35" s="3"/>
      <c r="U35" s="3">
        <v>535525</v>
      </c>
      <c r="V35" s="3"/>
      <c r="W35" s="3">
        <v>480194</v>
      </c>
      <c r="X35" s="3"/>
      <c r="Y35" s="3">
        <v>0</v>
      </c>
      <c r="Z35" s="3"/>
      <c r="AA35" s="3">
        <v>620046</v>
      </c>
      <c r="AB35" s="3" t="s">
        <v>213</v>
      </c>
      <c r="AD35" s="13" t="s">
        <v>174</v>
      </c>
      <c r="AF35" s="3">
        <v>0</v>
      </c>
      <c r="AG35" s="3"/>
      <c r="AH35" s="3">
        <v>20866</v>
      </c>
      <c r="AI35" s="3"/>
      <c r="AJ35" s="3"/>
      <c r="AK35" s="3"/>
      <c r="AL35" s="3">
        <v>0</v>
      </c>
      <c r="AM35" s="3"/>
      <c r="AN35" s="3">
        <v>0</v>
      </c>
      <c r="AO35" s="3"/>
      <c r="AP35" s="3">
        <v>45615</v>
      </c>
      <c r="AQ35" s="3"/>
      <c r="AR35" s="3">
        <v>0</v>
      </c>
      <c r="AS35" s="3"/>
      <c r="AT35" s="3"/>
      <c r="AU35" s="3"/>
      <c r="AV35" s="3">
        <v>0</v>
      </c>
      <c r="AW35" s="3"/>
      <c r="AX35" s="3">
        <v>0</v>
      </c>
      <c r="AY35" s="3"/>
      <c r="AZ35" s="3">
        <f t="shared" si="2"/>
        <v>7045533</v>
      </c>
      <c r="BA35" s="3"/>
      <c r="BB35" s="3">
        <v>642303</v>
      </c>
      <c r="BC35" s="3"/>
      <c r="BD35" s="3"/>
      <c r="BE35" s="3"/>
      <c r="BF35" s="3"/>
      <c r="BG35" s="3"/>
      <c r="BH35" s="3">
        <v>0</v>
      </c>
      <c r="BI35" s="3" t="s">
        <v>213</v>
      </c>
      <c r="BK35" s="13" t="s">
        <v>174</v>
      </c>
      <c r="BL35" s="3"/>
      <c r="BM35" s="3">
        <f t="shared" si="0"/>
        <v>7687836</v>
      </c>
      <c r="BN35" s="3"/>
      <c r="BO35" s="3">
        <f>GenRev!AU35-BM35</f>
        <v>-345150</v>
      </c>
      <c r="BP35" s="3"/>
      <c r="BQ35" s="3">
        <v>2626156</v>
      </c>
      <c r="BR35" s="3"/>
      <c r="BS35" s="3">
        <v>0</v>
      </c>
      <c r="BT35" s="3"/>
      <c r="BU35" s="3">
        <f t="shared" si="1"/>
        <v>2281006</v>
      </c>
      <c r="BV35" s="3"/>
      <c r="BW35" s="14">
        <f>+BU35-GenBS!AC35</f>
        <v>0</v>
      </c>
    </row>
    <row r="36" spans="1:75" s="13" customFormat="1" hidden="1">
      <c r="A36" s="3" t="s">
        <v>289</v>
      </c>
      <c r="C36" s="13" t="s">
        <v>175</v>
      </c>
      <c r="E36" s="3">
        <v>0</v>
      </c>
      <c r="F36" s="3"/>
      <c r="G36" s="3">
        <v>0</v>
      </c>
      <c r="H36" s="3"/>
      <c r="I36" s="3">
        <v>0</v>
      </c>
      <c r="J36" s="3"/>
      <c r="K36" s="3">
        <v>0</v>
      </c>
      <c r="L36" s="3"/>
      <c r="M36" s="3">
        <v>0</v>
      </c>
      <c r="N36" s="3"/>
      <c r="O36" s="3">
        <v>0</v>
      </c>
      <c r="P36" s="3"/>
      <c r="Q36" s="3">
        <v>0</v>
      </c>
      <c r="R36" s="3"/>
      <c r="S36" s="3">
        <v>0</v>
      </c>
      <c r="T36" s="3"/>
      <c r="U36" s="3">
        <v>0</v>
      </c>
      <c r="V36" s="3"/>
      <c r="W36" s="3">
        <v>0</v>
      </c>
      <c r="X36" s="3"/>
      <c r="Y36" s="3">
        <v>0</v>
      </c>
      <c r="Z36" s="3"/>
      <c r="AA36" s="3">
        <v>0</v>
      </c>
      <c r="AB36" s="3" t="s">
        <v>289</v>
      </c>
      <c r="AD36" s="13" t="s">
        <v>175</v>
      </c>
      <c r="AF36" s="3">
        <v>0</v>
      </c>
      <c r="AG36" s="3"/>
      <c r="AH36" s="3">
        <v>0</v>
      </c>
      <c r="AI36" s="3"/>
      <c r="AJ36" s="3"/>
      <c r="AK36" s="3"/>
      <c r="AL36" s="3">
        <v>0</v>
      </c>
      <c r="AM36" s="3"/>
      <c r="AN36" s="3">
        <v>0</v>
      </c>
      <c r="AO36" s="3"/>
      <c r="AP36" s="3">
        <v>0</v>
      </c>
      <c r="AQ36" s="3"/>
      <c r="AR36" s="3">
        <v>0</v>
      </c>
      <c r="AS36" s="3"/>
      <c r="AT36" s="3"/>
      <c r="AU36" s="3"/>
      <c r="AV36" s="3">
        <v>0</v>
      </c>
      <c r="AW36" s="3"/>
      <c r="AX36" s="3">
        <v>0</v>
      </c>
      <c r="AY36" s="3"/>
      <c r="AZ36" s="3">
        <f t="shared" si="2"/>
        <v>0</v>
      </c>
      <c r="BA36" s="3"/>
      <c r="BB36" s="3">
        <v>0</v>
      </c>
      <c r="BC36" s="3"/>
      <c r="BD36" s="3"/>
      <c r="BE36" s="3"/>
      <c r="BF36" s="3"/>
      <c r="BG36" s="3"/>
      <c r="BH36" s="3">
        <v>0</v>
      </c>
      <c r="BI36" s="3" t="s">
        <v>289</v>
      </c>
      <c r="BK36" s="13" t="s">
        <v>175</v>
      </c>
      <c r="BL36" s="3"/>
      <c r="BM36" s="3">
        <f t="shared" si="0"/>
        <v>0</v>
      </c>
      <c r="BN36" s="3"/>
      <c r="BO36" s="3">
        <f>GenRev!AU36-BM36</f>
        <v>0</v>
      </c>
      <c r="BP36" s="3"/>
      <c r="BQ36" s="3"/>
      <c r="BR36" s="3"/>
      <c r="BS36" s="3">
        <v>0</v>
      </c>
      <c r="BT36" s="3"/>
      <c r="BU36" s="3">
        <f t="shared" si="1"/>
        <v>0</v>
      </c>
      <c r="BV36" s="3"/>
      <c r="BW36" s="14">
        <f>+BU36-GenBS!AC36</f>
        <v>0</v>
      </c>
    </row>
    <row r="37" spans="1:75" s="13" customFormat="1">
      <c r="A37" s="3" t="s">
        <v>215</v>
      </c>
      <c r="C37" s="13" t="s">
        <v>144</v>
      </c>
      <c r="E37" s="3">
        <v>2130371</v>
      </c>
      <c r="F37" s="3"/>
      <c r="G37" s="3">
        <v>180</v>
      </c>
      <c r="H37" s="3"/>
      <c r="I37" s="3">
        <v>9251052</v>
      </c>
      <c r="J37" s="3"/>
      <c r="K37" s="3">
        <v>1331905</v>
      </c>
      <c r="L37" s="3"/>
      <c r="M37" s="3">
        <v>0</v>
      </c>
      <c r="N37" s="3"/>
      <c r="O37" s="3">
        <v>1261407</v>
      </c>
      <c r="P37" s="3"/>
      <c r="Q37" s="3">
        <v>1485833</v>
      </c>
      <c r="R37" s="3"/>
      <c r="S37" s="3">
        <v>40181</v>
      </c>
      <c r="T37" s="3"/>
      <c r="U37" s="3">
        <v>2013979</v>
      </c>
      <c r="V37" s="3"/>
      <c r="W37" s="3">
        <v>805236</v>
      </c>
      <c r="X37" s="3"/>
      <c r="Y37" s="3">
        <v>223263</v>
      </c>
      <c r="Z37" s="3"/>
      <c r="AA37" s="3">
        <v>2204907</v>
      </c>
      <c r="AB37" s="3" t="s">
        <v>215</v>
      </c>
      <c r="AD37" s="13" t="s">
        <v>144</v>
      </c>
      <c r="AF37" s="3">
        <v>74289</v>
      </c>
      <c r="AG37" s="3"/>
      <c r="AH37" s="3">
        <v>637109</v>
      </c>
      <c r="AI37" s="3"/>
      <c r="AJ37" s="3"/>
      <c r="AK37" s="3"/>
      <c r="AL37" s="3">
        <v>25028</v>
      </c>
      <c r="AM37" s="3"/>
      <c r="AN37" s="3">
        <v>0</v>
      </c>
      <c r="AO37" s="3"/>
      <c r="AP37" s="3">
        <v>281293</v>
      </c>
      <c r="AQ37" s="3"/>
      <c r="AR37" s="3">
        <v>7352</v>
      </c>
      <c r="AS37" s="3"/>
      <c r="AT37" s="3"/>
      <c r="AU37" s="3"/>
      <c r="AV37" s="3">
        <v>0</v>
      </c>
      <c r="AW37" s="3"/>
      <c r="AX37" s="3">
        <v>0</v>
      </c>
      <c r="AY37" s="3"/>
      <c r="AZ37" s="3">
        <f t="shared" si="2"/>
        <v>21773385</v>
      </c>
      <c r="BA37" s="3"/>
      <c r="BB37" s="3">
        <v>3171200</v>
      </c>
      <c r="BC37" s="3"/>
      <c r="BD37" s="3"/>
      <c r="BE37" s="3"/>
      <c r="BF37" s="3"/>
      <c r="BG37" s="3"/>
      <c r="BH37" s="3">
        <v>0</v>
      </c>
      <c r="BI37" s="3" t="s">
        <v>215</v>
      </c>
      <c r="BK37" s="13" t="s">
        <v>144</v>
      </c>
      <c r="BL37" s="3"/>
      <c r="BM37" s="3">
        <f t="shared" si="0"/>
        <v>24944585</v>
      </c>
      <c r="BN37" s="3"/>
      <c r="BO37" s="3">
        <f>GenRev!AU37-BM37</f>
        <v>-2542759</v>
      </c>
      <c r="BP37" s="3"/>
      <c r="BQ37" s="3">
        <v>6683445</v>
      </c>
      <c r="BR37" s="3"/>
      <c r="BS37" s="3">
        <v>0</v>
      </c>
      <c r="BT37" s="3"/>
      <c r="BU37" s="3">
        <f t="shared" si="1"/>
        <v>4140686</v>
      </c>
      <c r="BV37" s="3"/>
      <c r="BW37" s="14">
        <f>+BU37-GenBS!AC37</f>
        <v>0</v>
      </c>
    </row>
    <row r="38" spans="1:75" s="13" customFormat="1">
      <c r="A38" s="3" t="s">
        <v>369</v>
      </c>
      <c r="C38" s="13" t="s">
        <v>178</v>
      </c>
      <c r="E38" s="3">
        <v>1205705</v>
      </c>
      <c r="F38" s="3"/>
      <c r="G38" s="3">
        <v>0</v>
      </c>
      <c r="H38" s="3"/>
      <c r="I38" s="3">
        <v>3613479</v>
      </c>
      <c r="J38" s="3"/>
      <c r="K38" s="3">
        <v>0</v>
      </c>
      <c r="L38" s="3"/>
      <c r="M38" s="3">
        <v>0</v>
      </c>
      <c r="N38" s="3"/>
      <c r="O38" s="3">
        <v>941970</v>
      </c>
      <c r="P38" s="3"/>
      <c r="Q38" s="3">
        <v>694124</v>
      </c>
      <c r="R38" s="3"/>
      <c r="S38" s="3">
        <v>64988</v>
      </c>
      <c r="T38" s="3"/>
      <c r="U38" s="3">
        <v>645349</v>
      </c>
      <c r="V38" s="3"/>
      <c r="W38" s="3">
        <v>370691</v>
      </c>
      <c r="X38" s="3"/>
      <c r="Y38" s="3">
        <v>835</v>
      </c>
      <c r="Z38" s="3"/>
      <c r="AA38" s="3">
        <v>1129721</v>
      </c>
      <c r="AB38" s="3" t="s">
        <v>369</v>
      </c>
      <c r="AD38" s="13" t="s">
        <v>178</v>
      </c>
      <c r="AF38" s="3">
        <v>56126</v>
      </c>
      <c r="AG38" s="3"/>
      <c r="AH38" s="3">
        <v>97167</v>
      </c>
      <c r="AI38" s="3"/>
      <c r="AJ38" s="3"/>
      <c r="AK38" s="3"/>
      <c r="AL38" s="3">
        <v>0</v>
      </c>
      <c r="AM38" s="3"/>
      <c r="AN38" s="3">
        <v>9718</v>
      </c>
      <c r="AO38" s="3"/>
      <c r="AP38" s="3">
        <v>83413</v>
      </c>
      <c r="AQ38" s="3"/>
      <c r="AR38" s="3">
        <v>35644</v>
      </c>
      <c r="AS38" s="3"/>
      <c r="AT38" s="3"/>
      <c r="AU38" s="3"/>
      <c r="AV38" s="3">
        <v>365000</v>
      </c>
      <c r="AW38" s="3"/>
      <c r="AX38" s="3">
        <v>643438</v>
      </c>
      <c r="AY38" s="3"/>
      <c r="AZ38" s="3">
        <f t="shared" si="2"/>
        <v>9957368</v>
      </c>
      <c r="BA38" s="3"/>
      <c r="BB38" s="3">
        <v>56148</v>
      </c>
      <c r="BC38" s="3"/>
      <c r="BD38" s="3"/>
      <c r="BE38" s="3"/>
      <c r="BF38" s="3"/>
      <c r="BG38" s="3"/>
      <c r="BH38" s="3">
        <v>0</v>
      </c>
      <c r="BI38" s="3" t="s">
        <v>369</v>
      </c>
      <c r="BK38" s="13" t="s">
        <v>178</v>
      </c>
      <c r="BL38" s="3"/>
      <c r="BM38" s="3">
        <f t="shared" si="0"/>
        <v>10013516</v>
      </c>
      <c r="BN38" s="3"/>
      <c r="BO38" s="3">
        <f>GenRev!AU38-BM38</f>
        <v>1093596</v>
      </c>
      <c r="BP38" s="3"/>
      <c r="BQ38" s="3">
        <v>20238253</v>
      </c>
      <c r="BR38" s="3"/>
      <c r="BS38" s="3">
        <v>0</v>
      </c>
      <c r="BT38" s="3"/>
      <c r="BU38" s="3">
        <f t="shared" si="1"/>
        <v>21331849</v>
      </c>
      <c r="BV38" s="3"/>
      <c r="BW38" s="14">
        <f>+BU38-GenBS!AC38</f>
        <v>0</v>
      </c>
    </row>
    <row r="39" spans="1:75" s="13" customFormat="1">
      <c r="A39" s="3" t="s">
        <v>248</v>
      </c>
      <c r="C39" s="13" t="s">
        <v>188</v>
      </c>
      <c r="E39" s="3">
        <v>1055273</v>
      </c>
      <c r="F39" s="3"/>
      <c r="G39" s="3">
        <v>0</v>
      </c>
      <c r="H39" s="3"/>
      <c r="I39" s="3">
        <v>4484135</v>
      </c>
      <c r="J39" s="3"/>
      <c r="K39" s="3">
        <v>7276</v>
      </c>
      <c r="L39" s="3"/>
      <c r="M39" s="3">
        <v>0</v>
      </c>
      <c r="N39" s="3"/>
      <c r="O39" s="3">
        <v>905284</v>
      </c>
      <c r="P39" s="3"/>
      <c r="Q39" s="3">
        <v>509242</v>
      </c>
      <c r="R39" s="3"/>
      <c r="S39" s="3">
        <v>132859</v>
      </c>
      <c r="T39" s="3"/>
      <c r="U39" s="3">
        <v>713914</v>
      </c>
      <c r="V39" s="3"/>
      <c r="W39" s="3">
        <v>508200</v>
      </c>
      <c r="X39" s="3"/>
      <c r="Y39" s="3">
        <v>251936</v>
      </c>
      <c r="Z39" s="3"/>
      <c r="AA39" s="3">
        <v>1249656</v>
      </c>
      <c r="AB39" s="3" t="s">
        <v>248</v>
      </c>
      <c r="AD39" s="13" t="s">
        <v>188</v>
      </c>
      <c r="AF39" s="3">
        <v>4656</v>
      </c>
      <c r="AG39" s="3"/>
      <c r="AH39" s="3">
        <v>343807</v>
      </c>
      <c r="AI39" s="3"/>
      <c r="AJ39" s="3"/>
      <c r="AK39" s="3"/>
      <c r="AL39" s="3">
        <v>227</v>
      </c>
      <c r="AM39" s="3"/>
      <c r="AN39" s="3">
        <v>25809</v>
      </c>
      <c r="AO39" s="3"/>
      <c r="AP39" s="3">
        <v>24577</v>
      </c>
      <c r="AQ39" s="3"/>
      <c r="AR39" s="3">
        <v>252569</v>
      </c>
      <c r="AS39" s="3"/>
      <c r="AT39" s="3"/>
      <c r="AU39" s="3"/>
      <c r="AV39" s="3">
        <v>0</v>
      </c>
      <c r="AW39" s="3"/>
      <c r="AX39" s="3">
        <v>0</v>
      </c>
      <c r="AY39" s="3"/>
      <c r="AZ39" s="3">
        <f t="shared" si="2"/>
        <v>10469420</v>
      </c>
      <c r="BA39" s="3"/>
      <c r="BB39" s="3">
        <v>0</v>
      </c>
      <c r="BC39" s="3"/>
      <c r="BD39" s="3"/>
      <c r="BE39" s="3"/>
      <c r="BF39" s="3"/>
      <c r="BG39" s="3"/>
      <c r="BH39" s="3">
        <v>0</v>
      </c>
      <c r="BI39" s="3" t="s">
        <v>248</v>
      </c>
      <c r="BK39" s="13" t="s">
        <v>188</v>
      </c>
      <c r="BL39" s="3"/>
      <c r="BM39" s="3">
        <f t="shared" si="0"/>
        <v>10469420</v>
      </c>
      <c r="BN39" s="3"/>
      <c r="BO39" s="3">
        <f>GenRev!AU39-BM39</f>
        <v>2259283</v>
      </c>
      <c r="BP39" s="3"/>
      <c r="BQ39" s="3">
        <v>18447238</v>
      </c>
      <c r="BR39" s="3"/>
      <c r="BS39" s="3">
        <v>0</v>
      </c>
      <c r="BT39" s="3"/>
      <c r="BU39" s="3">
        <f t="shared" si="1"/>
        <v>20706521</v>
      </c>
      <c r="BV39" s="3"/>
      <c r="BW39" s="14">
        <f>+BU39-GenBS!AC39</f>
        <v>0</v>
      </c>
    </row>
    <row r="40" spans="1:75" s="13" customFormat="1">
      <c r="A40" s="3" t="s">
        <v>219</v>
      </c>
      <c r="C40" s="13" t="s">
        <v>180</v>
      </c>
      <c r="E40" s="3">
        <v>2560511</v>
      </c>
      <c r="F40" s="3"/>
      <c r="G40" s="3">
        <v>529523</v>
      </c>
      <c r="H40" s="3"/>
      <c r="I40" s="3">
        <v>4680804</v>
      </c>
      <c r="J40" s="3"/>
      <c r="K40" s="3">
        <v>23604</v>
      </c>
      <c r="L40" s="3"/>
      <c r="M40" s="3">
        <v>0</v>
      </c>
      <c r="N40" s="3"/>
      <c r="O40" s="3">
        <v>1383374</v>
      </c>
      <c r="P40" s="3"/>
      <c r="Q40" s="3">
        <v>519350</v>
      </c>
      <c r="R40" s="3"/>
      <c r="S40" s="3">
        <v>35459</v>
      </c>
      <c r="T40" s="3"/>
      <c r="U40" s="3">
        <v>1779387</v>
      </c>
      <c r="V40" s="3"/>
      <c r="W40" s="3">
        <v>557614</v>
      </c>
      <c r="X40" s="3"/>
      <c r="Y40" s="3">
        <v>239643</v>
      </c>
      <c r="Z40" s="3"/>
      <c r="AA40" s="3">
        <v>1407101</v>
      </c>
      <c r="AB40" s="3" t="s">
        <v>219</v>
      </c>
      <c r="AD40" s="13" t="s">
        <v>180</v>
      </c>
      <c r="AF40" s="3">
        <v>36512</v>
      </c>
      <c r="AG40" s="3"/>
      <c r="AH40" s="3">
        <v>208224</v>
      </c>
      <c r="AI40" s="3"/>
      <c r="AJ40" s="3"/>
      <c r="AK40" s="3"/>
      <c r="AL40" s="3">
        <v>0</v>
      </c>
      <c r="AM40" s="3"/>
      <c r="AN40" s="3">
        <v>66336</v>
      </c>
      <c r="AO40" s="3"/>
      <c r="AP40" s="3">
        <v>7871</v>
      </c>
      <c r="AQ40" s="3"/>
      <c r="AR40" s="3">
        <v>1460626</v>
      </c>
      <c r="AS40" s="3"/>
      <c r="AT40" s="3"/>
      <c r="AU40" s="3"/>
      <c r="AV40" s="3">
        <v>0</v>
      </c>
      <c r="AW40" s="3"/>
      <c r="AX40" s="3">
        <v>0</v>
      </c>
      <c r="AY40" s="3"/>
      <c r="AZ40" s="3">
        <f t="shared" si="2"/>
        <v>15495939</v>
      </c>
      <c r="BA40" s="3"/>
      <c r="BB40" s="3">
        <v>7000</v>
      </c>
      <c r="BC40" s="3"/>
      <c r="BD40" s="3"/>
      <c r="BE40" s="3"/>
      <c r="BF40" s="3"/>
      <c r="BG40" s="3"/>
      <c r="BH40" s="3">
        <v>0</v>
      </c>
      <c r="BI40" s="3" t="s">
        <v>219</v>
      </c>
      <c r="BK40" s="13" t="s">
        <v>180</v>
      </c>
      <c r="BL40" s="3"/>
      <c r="BM40" s="3">
        <f t="shared" si="0"/>
        <v>15502939</v>
      </c>
      <c r="BN40" s="3"/>
      <c r="BO40" s="3">
        <f>GenRev!AU40-BM40</f>
        <v>329770</v>
      </c>
      <c r="BP40" s="3"/>
      <c r="BQ40" s="3">
        <v>8242515</v>
      </c>
      <c r="BR40" s="3"/>
      <c r="BS40" s="3">
        <v>0</v>
      </c>
      <c r="BT40" s="3"/>
      <c r="BU40" s="3">
        <f t="shared" si="1"/>
        <v>8572285</v>
      </c>
      <c r="BV40" s="3"/>
      <c r="BW40" s="14">
        <f>+BU40-GenBS!AC40</f>
        <v>0</v>
      </c>
    </row>
    <row r="41" spans="1:75" s="13" customFormat="1">
      <c r="A41" s="3" t="s">
        <v>370</v>
      </c>
      <c r="C41" s="13" t="s">
        <v>183</v>
      </c>
      <c r="E41" s="3">
        <v>1106306</v>
      </c>
      <c r="F41" s="3"/>
      <c r="G41" s="3">
        <v>316960</v>
      </c>
      <c r="H41" s="3"/>
      <c r="I41" s="3">
        <v>15006483</v>
      </c>
      <c r="J41" s="3"/>
      <c r="K41" s="3">
        <v>2415063</v>
      </c>
      <c r="L41" s="3"/>
      <c r="M41" s="3">
        <v>0</v>
      </c>
      <c r="N41" s="3"/>
      <c r="O41" s="3">
        <v>1705078</v>
      </c>
      <c r="P41" s="3"/>
      <c r="Q41" s="3">
        <v>1546702</v>
      </c>
      <c r="R41" s="3"/>
      <c r="S41" s="3">
        <v>0</v>
      </c>
      <c r="T41" s="3"/>
      <c r="U41" s="3">
        <f>70702+1963329</f>
        <v>2034031</v>
      </c>
      <c r="V41" s="3"/>
      <c r="W41" s="3">
        <v>850703</v>
      </c>
      <c r="X41" s="3"/>
      <c r="Y41" s="3">
        <v>427472</v>
      </c>
      <c r="Z41" s="3"/>
      <c r="AA41" s="3">
        <v>2992098</v>
      </c>
      <c r="AB41" s="3" t="s">
        <v>370</v>
      </c>
      <c r="AD41" s="13" t="s">
        <v>183</v>
      </c>
      <c r="AF41" s="3">
        <v>94077</v>
      </c>
      <c r="AG41" s="3"/>
      <c r="AH41" s="3">
        <v>1958877</v>
      </c>
      <c r="AI41" s="3"/>
      <c r="AJ41" s="3"/>
      <c r="AK41" s="3"/>
      <c r="AL41" s="3">
        <v>0</v>
      </c>
      <c r="AM41" s="3"/>
      <c r="AN41" s="3">
        <v>0</v>
      </c>
      <c r="AO41" s="3"/>
      <c r="AP41" s="3">
        <v>91872</v>
      </c>
      <c r="AQ41" s="3"/>
      <c r="AR41" s="3">
        <v>0</v>
      </c>
      <c r="AS41" s="3"/>
      <c r="AT41" s="3"/>
      <c r="AU41" s="3"/>
      <c r="AV41" s="3">
        <v>0</v>
      </c>
      <c r="AW41" s="3"/>
      <c r="AX41" s="3">
        <v>0</v>
      </c>
      <c r="AY41" s="3"/>
      <c r="AZ41" s="3">
        <f t="shared" si="2"/>
        <v>30545722</v>
      </c>
      <c r="BA41" s="3"/>
      <c r="BB41" s="3">
        <v>353373</v>
      </c>
      <c r="BC41" s="3"/>
      <c r="BD41" s="3"/>
      <c r="BE41" s="3"/>
      <c r="BF41" s="3"/>
      <c r="BG41" s="3"/>
      <c r="BH41" s="3">
        <v>0</v>
      </c>
      <c r="BI41" s="3" t="s">
        <v>370</v>
      </c>
      <c r="BK41" s="13" t="s">
        <v>183</v>
      </c>
      <c r="BL41" s="3"/>
      <c r="BM41" s="3">
        <f t="shared" si="0"/>
        <v>30899095</v>
      </c>
      <c r="BN41" s="3"/>
      <c r="BO41" s="3">
        <f>GenRev!AU41-BM41</f>
        <v>987667</v>
      </c>
      <c r="BP41" s="3"/>
      <c r="BQ41" s="3">
        <v>2086136</v>
      </c>
      <c r="BR41" s="3"/>
      <c r="BS41" s="3">
        <v>0</v>
      </c>
      <c r="BT41" s="3"/>
      <c r="BU41" s="3">
        <f t="shared" si="1"/>
        <v>3073803</v>
      </c>
      <c r="BV41" s="3"/>
      <c r="BW41" s="14">
        <f>+BU41-GenBS!AC41</f>
        <v>0</v>
      </c>
    </row>
    <row r="42" spans="1:75" s="13" customFormat="1">
      <c r="A42" s="3" t="s">
        <v>371</v>
      </c>
      <c r="C42" s="13" t="s">
        <v>185</v>
      </c>
      <c r="E42" s="3">
        <v>1873991</v>
      </c>
      <c r="F42" s="3"/>
      <c r="G42" s="3">
        <v>0</v>
      </c>
      <c r="H42" s="3"/>
      <c r="I42" s="3">
        <v>6027684</v>
      </c>
      <c r="J42" s="3"/>
      <c r="K42" s="3">
        <v>10270</v>
      </c>
      <c r="L42" s="3"/>
      <c r="M42" s="3">
        <v>0</v>
      </c>
      <c r="N42" s="3"/>
      <c r="O42" s="3">
        <v>845231</v>
      </c>
      <c r="P42" s="3"/>
      <c r="Q42" s="3">
        <v>187955</v>
      </c>
      <c r="R42" s="3"/>
      <c r="S42" s="3">
        <v>62689</v>
      </c>
      <c r="T42" s="3"/>
      <c r="U42" s="3">
        <v>1496841</v>
      </c>
      <c r="V42" s="3"/>
      <c r="W42" s="3">
        <v>582161</v>
      </c>
      <c r="X42" s="3"/>
      <c r="Y42" s="3">
        <v>188618</v>
      </c>
      <c r="Z42" s="3"/>
      <c r="AA42" s="3">
        <v>1113490</v>
      </c>
      <c r="AB42" s="3" t="s">
        <v>371</v>
      </c>
      <c r="AD42" s="13" t="s">
        <v>185</v>
      </c>
      <c r="AF42" s="3">
        <v>104185</v>
      </c>
      <c r="AG42" s="3"/>
      <c r="AH42" s="3">
        <v>481180</v>
      </c>
      <c r="AI42" s="3"/>
      <c r="AJ42" s="3"/>
      <c r="AK42" s="3"/>
      <c r="AL42" s="3">
        <v>0</v>
      </c>
      <c r="AM42" s="3"/>
      <c r="AN42" s="3">
        <v>0</v>
      </c>
      <c r="AO42" s="3"/>
      <c r="AP42" s="3">
        <v>106312</v>
      </c>
      <c r="AQ42" s="3"/>
      <c r="AR42" s="3">
        <v>0</v>
      </c>
      <c r="AS42" s="3"/>
      <c r="AT42" s="3"/>
      <c r="AU42" s="3"/>
      <c r="AV42" s="3">
        <v>17336</v>
      </c>
      <c r="AW42" s="3"/>
      <c r="AX42" s="3">
        <v>3504</v>
      </c>
      <c r="AY42" s="3"/>
      <c r="AZ42" s="3">
        <f t="shared" si="2"/>
        <v>13101447</v>
      </c>
      <c r="BA42" s="3"/>
      <c r="BB42" s="3">
        <v>1000000</v>
      </c>
      <c r="BC42" s="3"/>
      <c r="BD42" s="3"/>
      <c r="BE42" s="3"/>
      <c r="BF42" s="3"/>
      <c r="BG42" s="3"/>
      <c r="BH42" s="3">
        <v>0</v>
      </c>
      <c r="BI42" s="3" t="s">
        <v>371</v>
      </c>
      <c r="BK42" s="13" t="s">
        <v>185</v>
      </c>
      <c r="BL42" s="3"/>
      <c r="BM42" s="3">
        <f t="shared" si="0"/>
        <v>14101447</v>
      </c>
      <c r="BN42" s="3"/>
      <c r="BO42" s="3">
        <f>GenRev!AU42-BM42</f>
        <v>842828</v>
      </c>
      <c r="BP42" s="3"/>
      <c r="BQ42" s="3">
        <v>11867404</v>
      </c>
      <c r="BR42" s="3"/>
      <c r="BS42" s="3">
        <v>0</v>
      </c>
      <c r="BT42" s="3"/>
      <c r="BU42" s="3">
        <f t="shared" si="1"/>
        <v>12710232</v>
      </c>
      <c r="BV42" s="3"/>
      <c r="BW42" s="14">
        <f>+BU42-GenBS!AC42</f>
        <v>0</v>
      </c>
    </row>
    <row r="43" spans="1:75" s="13" customFormat="1">
      <c r="A43" s="3" t="s">
        <v>214</v>
      </c>
      <c r="C43" s="13" t="s">
        <v>176</v>
      </c>
      <c r="E43" s="3">
        <v>1167542</v>
      </c>
      <c r="F43" s="3"/>
      <c r="G43" s="3">
        <v>592244</v>
      </c>
      <c r="H43" s="3"/>
      <c r="I43" s="3">
        <v>4597275</v>
      </c>
      <c r="J43" s="3"/>
      <c r="K43" s="3">
        <v>1165958</v>
      </c>
      <c r="L43" s="3"/>
      <c r="M43" s="3">
        <v>0</v>
      </c>
      <c r="N43" s="3"/>
      <c r="O43" s="3">
        <v>587158</v>
      </c>
      <c r="P43" s="3"/>
      <c r="Q43" s="3">
        <v>152701</v>
      </c>
      <c r="R43" s="3"/>
      <c r="S43" s="3">
        <v>0</v>
      </c>
      <c r="T43" s="3"/>
      <c r="U43" s="3">
        <f>57396+943355</f>
        <v>1000751</v>
      </c>
      <c r="V43" s="3"/>
      <c r="W43" s="3">
        <v>284392</v>
      </c>
      <c r="X43" s="3"/>
      <c r="Y43" s="3">
        <v>879477</v>
      </c>
      <c r="Z43" s="3"/>
      <c r="AA43" s="3">
        <v>1581049</v>
      </c>
      <c r="AB43" s="3" t="s">
        <v>214</v>
      </c>
      <c r="AD43" s="13" t="s">
        <v>176</v>
      </c>
      <c r="AF43" s="3">
        <v>59515</v>
      </c>
      <c r="AG43" s="3"/>
      <c r="AH43" s="3">
        <v>715190</v>
      </c>
      <c r="AI43" s="3"/>
      <c r="AJ43" s="3"/>
      <c r="AK43" s="3"/>
      <c r="AL43" s="3">
        <v>0</v>
      </c>
      <c r="AM43" s="3"/>
      <c r="AN43" s="3">
        <v>0</v>
      </c>
      <c r="AO43" s="3"/>
      <c r="AP43" s="3">
        <v>0</v>
      </c>
      <c r="AQ43" s="3"/>
      <c r="AR43" s="3">
        <v>76724</v>
      </c>
      <c r="AS43" s="3"/>
      <c r="AT43" s="3"/>
      <c r="AU43" s="3"/>
      <c r="AV43" s="3">
        <v>158817</v>
      </c>
      <c r="AW43" s="3"/>
      <c r="AX43" s="3">
        <v>23734</v>
      </c>
      <c r="AY43" s="3"/>
      <c r="AZ43" s="3">
        <f t="shared" si="2"/>
        <v>13042527</v>
      </c>
      <c r="BA43" s="3"/>
      <c r="BB43" s="3">
        <v>363000</v>
      </c>
      <c r="BC43" s="3"/>
      <c r="BD43" s="3"/>
      <c r="BE43" s="3"/>
      <c r="BF43" s="3"/>
      <c r="BG43" s="3"/>
      <c r="BH43" s="3">
        <v>0</v>
      </c>
      <c r="BI43" s="3" t="s">
        <v>214</v>
      </c>
      <c r="BK43" s="13" t="s">
        <v>176</v>
      </c>
      <c r="BL43" s="3"/>
      <c r="BM43" s="3">
        <f t="shared" si="0"/>
        <v>13405527</v>
      </c>
      <c r="BN43" s="3"/>
      <c r="BO43" s="3">
        <f>GenRev!AU43-BM43</f>
        <v>-405943</v>
      </c>
      <c r="BP43" s="3"/>
      <c r="BQ43" s="3">
        <v>8447870</v>
      </c>
      <c r="BR43" s="3"/>
      <c r="BS43" s="3">
        <v>0</v>
      </c>
      <c r="BT43" s="3"/>
      <c r="BU43" s="3">
        <f t="shared" si="1"/>
        <v>8041927</v>
      </c>
      <c r="BV43" s="3"/>
      <c r="BW43" s="14">
        <f>+BU43-GenBS!AC43</f>
        <v>0</v>
      </c>
    </row>
    <row r="44" spans="1:75" s="13" customFormat="1">
      <c r="A44" s="3" t="s">
        <v>328</v>
      </c>
      <c r="C44" s="13" t="s">
        <v>206</v>
      </c>
      <c r="E44" s="3">
        <v>0</v>
      </c>
      <c r="F44" s="3"/>
      <c r="G44" s="3">
        <v>805320</v>
      </c>
      <c r="H44" s="3"/>
      <c r="I44" s="3">
        <v>15116906</v>
      </c>
      <c r="J44" s="3"/>
      <c r="K44" s="3">
        <v>19050</v>
      </c>
      <c r="L44" s="3"/>
      <c r="M44" s="3">
        <v>535463</v>
      </c>
      <c r="N44" s="3"/>
      <c r="O44" s="3">
        <v>2408230</v>
      </c>
      <c r="P44" s="3"/>
      <c r="Q44" s="3">
        <v>2156961</v>
      </c>
      <c r="R44" s="3"/>
      <c r="S44" s="3">
        <v>79472</v>
      </c>
      <c r="T44" s="3"/>
      <c r="U44" s="3">
        <v>735425</v>
      </c>
      <c r="V44" s="3"/>
      <c r="W44" s="3">
        <v>562535</v>
      </c>
      <c r="X44" s="3"/>
      <c r="Y44" s="3">
        <v>0</v>
      </c>
      <c r="Z44" s="3"/>
      <c r="AA44" s="3">
        <v>2375132</v>
      </c>
      <c r="AB44" s="3" t="s">
        <v>328</v>
      </c>
      <c r="AD44" s="13" t="s">
        <v>206</v>
      </c>
      <c r="AF44" s="3">
        <v>0</v>
      </c>
      <c r="AG44" s="3"/>
      <c r="AH44" s="3">
        <v>328578</v>
      </c>
      <c r="AI44" s="3"/>
      <c r="AJ44" s="3"/>
      <c r="AK44" s="3"/>
      <c r="AL44" s="3">
        <v>0</v>
      </c>
      <c r="AM44" s="3"/>
      <c r="AN44" s="3">
        <f>78464+203841</f>
        <v>282305</v>
      </c>
      <c r="AO44" s="3"/>
      <c r="AP44" s="3">
        <v>266009</v>
      </c>
      <c r="AQ44" s="3"/>
      <c r="AR44" s="3">
        <v>0</v>
      </c>
      <c r="AS44" s="3"/>
      <c r="AT44" s="3"/>
      <c r="AU44" s="3"/>
      <c r="AV44" s="3">
        <v>34290</v>
      </c>
      <c r="AW44" s="3"/>
      <c r="AX44" s="3">
        <v>1836</v>
      </c>
      <c r="AY44" s="3"/>
      <c r="AZ44" s="3">
        <f t="shared" si="2"/>
        <v>25707512</v>
      </c>
      <c r="BA44" s="3"/>
      <c r="BB44" s="3">
        <v>0</v>
      </c>
      <c r="BC44" s="3"/>
      <c r="BD44" s="3"/>
      <c r="BE44" s="3"/>
      <c r="BF44" s="3"/>
      <c r="BG44" s="3"/>
      <c r="BH44" s="3">
        <v>0</v>
      </c>
      <c r="BI44" s="3" t="s">
        <v>328</v>
      </c>
      <c r="BK44" s="13" t="s">
        <v>206</v>
      </c>
      <c r="BL44" s="3"/>
      <c r="BM44" s="3">
        <f t="shared" si="0"/>
        <v>25707512</v>
      </c>
      <c r="BN44" s="3"/>
      <c r="BO44" s="3">
        <f>GenRev!AU44-BM44</f>
        <v>306676</v>
      </c>
      <c r="BP44" s="3"/>
      <c r="BQ44" s="3">
        <v>6888087</v>
      </c>
      <c r="BR44" s="3"/>
      <c r="BS44" s="3">
        <v>0</v>
      </c>
      <c r="BT44" s="3"/>
      <c r="BU44" s="3">
        <f t="shared" si="1"/>
        <v>7194763</v>
      </c>
      <c r="BV44" s="3"/>
      <c r="BW44" s="14">
        <f>+BU44-GenBS!AC44</f>
        <v>0</v>
      </c>
    </row>
    <row r="45" spans="1:75" s="13" customFormat="1">
      <c r="A45" s="3" t="s">
        <v>372</v>
      </c>
      <c r="C45" s="13" t="s">
        <v>192</v>
      </c>
      <c r="E45" s="3">
        <v>815009</v>
      </c>
      <c r="F45" s="3"/>
      <c r="G45" s="3">
        <v>0</v>
      </c>
      <c r="H45" s="3"/>
      <c r="I45" s="3">
        <v>9905162</v>
      </c>
      <c r="J45" s="3"/>
      <c r="K45" s="3">
        <v>0</v>
      </c>
      <c r="L45" s="3"/>
      <c r="M45" s="3">
        <v>0</v>
      </c>
      <c r="N45" s="3"/>
      <c r="O45" s="3">
        <v>563691</v>
      </c>
      <c r="P45" s="3"/>
      <c r="Q45" s="3">
        <v>837528</v>
      </c>
      <c r="R45" s="3"/>
      <c r="S45" s="3">
        <v>30952</v>
      </c>
      <c r="T45" s="3"/>
      <c r="U45" s="3">
        <v>310387</v>
      </c>
      <c r="V45" s="3"/>
      <c r="W45" s="3">
        <v>533879</v>
      </c>
      <c r="X45" s="3"/>
      <c r="Y45" s="3">
        <v>0</v>
      </c>
      <c r="Z45" s="3"/>
      <c r="AA45" s="3">
        <v>1051311</v>
      </c>
      <c r="AB45" s="3" t="s">
        <v>372</v>
      </c>
      <c r="AD45" s="13" t="s">
        <v>192</v>
      </c>
      <c r="AF45" s="3">
        <v>115</v>
      </c>
      <c r="AG45" s="3"/>
      <c r="AH45" s="3">
        <v>205770</v>
      </c>
      <c r="AI45" s="3"/>
      <c r="AJ45" s="3"/>
      <c r="AK45" s="3"/>
      <c r="AL45" s="3">
        <v>0</v>
      </c>
      <c r="AM45" s="3"/>
      <c r="AN45" s="3">
        <v>0</v>
      </c>
      <c r="AO45" s="3"/>
      <c r="AP45" s="3">
        <v>20016</v>
      </c>
      <c r="AQ45" s="3"/>
      <c r="AR45" s="3">
        <v>83193</v>
      </c>
      <c r="AS45" s="3"/>
      <c r="AT45" s="3"/>
      <c r="AU45" s="3"/>
      <c r="AV45" s="3">
        <v>272886</v>
      </c>
      <c r="AW45" s="3"/>
      <c r="AX45" s="3">
        <v>0</v>
      </c>
      <c r="AY45" s="3"/>
      <c r="AZ45" s="3">
        <f t="shared" si="2"/>
        <v>14629899</v>
      </c>
      <c r="BA45" s="3"/>
      <c r="BB45" s="3">
        <v>373015</v>
      </c>
      <c r="BC45" s="3"/>
      <c r="BD45" s="3"/>
      <c r="BE45" s="3"/>
      <c r="BF45" s="3"/>
      <c r="BG45" s="3"/>
      <c r="BH45" s="3">
        <v>0</v>
      </c>
      <c r="BI45" s="3" t="s">
        <v>372</v>
      </c>
      <c r="BK45" s="13" t="s">
        <v>192</v>
      </c>
      <c r="BL45" s="3"/>
      <c r="BM45" s="3">
        <f t="shared" si="0"/>
        <v>15002914</v>
      </c>
      <c r="BN45" s="3"/>
      <c r="BO45" s="3">
        <f>GenRev!AU45-BM45</f>
        <v>179355</v>
      </c>
      <c r="BP45" s="3"/>
      <c r="BQ45" s="3">
        <v>7530700</v>
      </c>
      <c r="BR45" s="3"/>
      <c r="BS45" s="3">
        <v>0</v>
      </c>
      <c r="BT45" s="3"/>
      <c r="BU45" s="3">
        <f t="shared" si="1"/>
        <v>7710055</v>
      </c>
      <c r="BV45" s="3"/>
      <c r="BW45" s="14">
        <f>+BU45-GenBS!AC45</f>
        <v>0</v>
      </c>
    </row>
    <row r="46" spans="1:75" s="13" customFormat="1">
      <c r="A46" s="3" t="s">
        <v>249</v>
      </c>
      <c r="C46" s="13" t="s">
        <v>220</v>
      </c>
      <c r="E46" s="3">
        <v>0</v>
      </c>
      <c r="F46" s="3"/>
      <c r="G46" s="3">
        <v>94266</v>
      </c>
      <c r="H46" s="3"/>
      <c r="I46" s="3">
        <v>3537545</v>
      </c>
      <c r="J46" s="3"/>
      <c r="K46" s="3">
        <v>0</v>
      </c>
      <c r="L46" s="3"/>
      <c r="M46" s="3">
        <v>0</v>
      </c>
      <c r="N46" s="3"/>
      <c r="O46" s="3">
        <v>322980</v>
      </c>
      <c r="P46" s="3"/>
      <c r="Q46" s="3">
        <v>125170</v>
      </c>
      <c r="R46" s="3"/>
      <c r="S46" s="3">
        <v>83071</v>
      </c>
      <c r="T46" s="3"/>
      <c r="U46" s="3">
        <v>373021</v>
      </c>
      <c r="V46" s="3"/>
      <c r="W46" s="3">
        <v>359908</v>
      </c>
      <c r="X46" s="3"/>
      <c r="Y46" s="3">
        <v>0</v>
      </c>
      <c r="Z46" s="3"/>
      <c r="AA46" s="3">
        <v>472785</v>
      </c>
      <c r="AB46" s="3" t="s">
        <v>249</v>
      </c>
      <c r="AD46" s="13" t="s">
        <v>220</v>
      </c>
      <c r="AF46" s="3">
        <v>10127</v>
      </c>
      <c r="AG46" s="3"/>
      <c r="AH46" s="3">
        <v>85177</v>
      </c>
      <c r="AI46" s="3"/>
      <c r="AJ46" s="3"/>
      <c r="AK46" s="3"/>
      <c r="AL46" s="3">
        <v>0</v>
      </c>
      <c r="AM46" s="3"/>
      <c r="AN46" s="3">
        <v>63678</v>
      </c>
      <c r="AO46" s="3"/>
      <c r="AP46" s="3">
        <v>1795</v>
      </c>
      <c r="AQ46" s="3"/>
      <c r="AR46" s="3">
        <v>0</v>
      </c>
      <c r="AS46" s="3"/>
      <c r="AT46" s="3"/>
      <c r="AU46" s="3"/>
      <c r="AV46" s="3">
        <v>52789</v>
      </c>
      <c r="AW46" s="3"/>
      <c r="AX46" s="3">
        <v>4339</v>
      </c>
      <c r="AY46" s="3"/>
      <c r="AZ46" s="3">
        <f t="shared" si="2"/>
        <v>5586651</v>
      </c>
      <c r="BA46" s="3"/>
      <c r="BB46" s="3">
        <v>0</v>
      </c>
      <c r="BC46" s="3"/>
      <c r="BD46" s="3"/>
      <c r="BE46" s="3"/>
      <c r="BF46" s="3"/>
      <c r="BG46" s="3"/>
      <c r="BH46" s="3">
        <v>0</v>
      </c>
      <c r="BI46" s="3" t="s">
        <v>249</v>
      </c>
      <c r="BK46" s="13" t="s">
        <v>220</v>
      </c>
      <c r="BL46" s="3"/>
      <c r="BM46" s="3">
        <f t="shared" ref="BM46:BM64" si="3">+BH46+BD46+BB46+AZ46</f>
        <v>5586651</v>
      </c>
      <c r="BN46" s="3"/>
      <c r="BO46" s="3">
        <f>GenRev!AU46-BM46</f>
        <v>364656</v>
      </c>
      <c r="BP46" s="3"/>
      <c r="BQ46" s="3">
        <v>3179406</v>
      </c>
      <c r="BR46" s="3"/>
      <c r="BS46" s="3">
        <v>0</v>
      </c>
      <c r="BT46" s="3"/>
      <c r="BU46" s="3">
        <f t="shared" si="1"/>
        <v>3544062</v>
      </c>
      <c r="BV46" s="3"/>
      <c r="BW46" s="14">
        <f>+BU46-GenBS!AC46</f>
        <v>0</v>
      </c>
    </row>
    <row r="47" spans="1:75" s="13" customFormat="1">
      <c r="A47" s="3" t="s">
        <v>373</v>
      </c>
      <c r="C47" s="13" t="s">
        <v>191</v>
      </c>
      <c r="E47" s="3">
        <v>902553</v>
      </c>
      <c r="F47" s="3"/>
      <c r="G47" s="3">
        <v>546502</v>
      </c>
      <c r="H47" s="3"/>
      <c r="I47" s="3">
        <v>8889921</v>
      </c>
      <c r="J47" s="3"/>
      <c r="K47" s="3">
        <v>0</v>
      </c>
      <c r="L47" s="3"/>
      <c r="M47" s="3">
        <v>0</v>
      </c>
      <c r="N47" s="3"/>
      <c r="O47" s="3">
        <v>894697</v>
      </c>
      <c r="P47" s="3"/>
      <c r="Q47" s="3">
        <v>1000694</v>
      </c>
      <c r="R47" s="3"/>
      <c r="S47" s="3">
        <v>76297</v>
      </c>
      <c r="T47" s="3"/>
      <c r="U47" s="3">
        <v>1061393</v>
      </c>
      <c r="V47" s="3"/>
      <c r="W47" s="3">
        <v>497843</v>
      </c>
      <c r="X47" s="3"/>
      <c r="Y47" s="3">
        <v>193253</v>
      </c>
      <c r="Z47" s="3"/>
      <c r="AA47" s="3">
        <v>829931</v>
      </c>
      <c r="AB47" s="3" t="s">
        <v>373</v>
      </c>
      <c r="AD47" s="13" t="s">
        <v>191</v>
      </c>
      <c r="AF47" s="3">
        <v>1979</v>
      </c>
      <c r="AG47" s="3"/>
      <c r="AH47" s="3">
        <v>129999</v>
      </c>
      <c r="AI47" s="3"/>
      <c r="AJ47" s="3"/>
      <c r="AK47" s="3"/>
      <c r="AL47" s="3">
        <v>0</v>
      </c>
      <c r="AM47" s="3"/>
      <c r="AN47" s="3">
        <v>69</v>
      </c>
      <c r="AO47" s="3"/>
      <c r="AP47" s="3">
        <v>81240</v>
      </c>
      <c r="AQ47" s="3"/>
      <c r="AR47" s="3">
        <v>79493</v>
      </c>
      <c r="AS47" s="3"/>
      <c r="AT47" s="3"/>
      <c r="AU47" s="3"/>
      <c r="AV47" s="3">
        <v>330315</v>
      </c>
      <c r="AW47" s="3"/>
      <c r="AX47" s="3">
        <v>567156</v>
      </c>
      <c r="AY47" s="3"/>
      <c r="AZ47" s="3">
        <f t="shared" si="2"/>
        <v>16083335</v>
      </c>
      <c r="BA47" s="3"/>
      <c r="BB47" s="3">
        <v>505200</v>
      </c>
      <c r="BC47" s="3"/>
      <c r="BD47" s="3"/>
      <c r="BE47" s="3"/>
      <c r="BF47" s="3"/>
      <c r="BG47" s="3"/>
      <c r="BH47" s="3">
        <v>0</v>
      </c>
      <c r="BI47" s="3" t="s">
        <v>373</v>
      </c>
      <c r="BK47" s="13" t="s">
        <v>191</v>
      </c>
      <c r="BL47" s="3"/>
      <c r="BM47" s="3">
        <f t="shared" si="3"/>
        <v>16588535</v>
      </c>
      <c r="BN47" s="3"/>
      <c r="BO47" s="3">
        <f>GenRev!AU47-BM47</f>
        <v>-889729</v>
      </c>
      <c r="BP47" s="3"/>
      <c r="BQ47" s="3">
        <v>10282110</v>
      </c>
      <c r="BR47" s="3"/>
      <c r="BS47" s="3">
        <v>-3221</v>
      </c>
      <c r="BT47" s="3"/>
      <c r="BU47" s="3">
        <f t="shared" si="1"/>
        <v>9389160</v>
      </c>
      <c r="BV47" s="3"/>
      <c r="BW47" s="14">
        <f>+BU47-GenBS!AC47</f>
        <v>0</v>
      </c>
    </row>
    <row r="48" spans="1:75" s="13" customFormat="1">
      <c r="A48" s="3" t="s">
        <v>250</v>
      </c>
      <c r="C48" s="13" t="s">
        <v>159</v>
      </c>
      <c r="E48" s="3">
        <v>0</v>
      </c>
      <c r="F48" s="3"/>
      <c r="G48" s="3">
        <v>0</v>
      </c>
      <c r="H48" s="3"/>
      <c r="I48" s="3">
        <v>6139489</v>
      </c>
      <c r="J48" s="3"/>
      <c r="K48" s="3">
        <v>0</v>
      </c>
      <c r="L48" s="3"/>
      <c r="M48" s="3">
        <v>0</v>
      </c>
      <c r="N48" s="3"/>
      <c r="O48" s="3">
        <v>1670584</v>
      </c>
      <c r="P48" s="3"/>
      <c r="Q48" s="3">
        <v>1361853</v>
      </c>
      <c r="R48" s="3"/>
      <c r="S48" s="3">
        <v>115633</v>
      </c>
      <c r="T48" s="3"/>
      <c r="U48" s="3">
        <v>945329</v>
      </c>
      <c r="V48" s="3"/>
      <c r="W48" s="3">
        <v>706853</v>
      </c>
      <c r="X48" s="3"/>
      <c r="Y48" s="3">
        <v>113072</v>
      </c>
      <c r="Z48" s="3"/>
      <c r="AA48" s="3">
        <v>1540108</v>
      </c>
      <c r="AB48" s="3" t="s">
        <v>250</v>
      </c>
      <c r="AD48" s="13" t="s">
        <v>159</v>
      </c>
      <c r="AF48" s="3">
        <v>14632</v>
      </c>
      <c r="AG48" s="3"/>
      <c r="AH48" s="3">
        <v>1012471</v>
      </c>
      <c r="AI48" s="3"/>
      <c r="AJ48" s="3"/>
      <c r="AK48" s="3"/>
      <c r="AL48" s="3">
        <v>0</v>
      </c>
      <c r="AM48" s="3"/>
      <c r="AN48" s="3">
        <v>0</v>
      </c>
      <c r="AO48" s="3"/>
      <c r="AP48" s="3">
        <v>40878</v>
      </c>
      <c r="AQ48" s="3"/>
      <c r="AR48" s="3">
        <v>24375</v>
      </c>
      <c r="AS48" s="3"/>
      <c r="AT48" s="3"/>
      <c r="AU48" s="3"/>
      <c r="AV48" s="3">
        <v>147036</v>
      </c>
      <c r="AW48" s="3"/>
      <c r="AX48" s="3">
        <v>49562</v>
      </c>
      <c r="AY48" s="3"/>
      <c r="AZ48" s="3">
        <f t="shared" si="2"/>
        <v>13881875</v>
      </c>
      <c r="BA48" s="3"/>
      <c r="BB48" s="3">
        <v>25375</v>
      </c>
      <c r="BC48" s="3"/>
      <c r="BD48" s="3"/>
      <c r="BE48" s="3"/>
      <c r="BF48" s="3"/>
      <c r="BG48" s="3"/>
      <c r="BH48" s="3">
        <v>0</v>
      </c>
      <c r="BI48" s="3" t="s">
        <v>250</v>
      </c>
      <c r="BK48" s="13" t="s">
        <v>159</v>
      </c>
      <c r="BL48" s="3"/>
      <c r="BM48" s="3">
        <f t="shared" si="3"/>
        <v>13907250</v>
      </c>
      <c r="BN48" s="3"/>
      <c r="BO48" s="3">
        <f>GenRev!AU48-BM48</f>
        <v>3021472</v>
      </c>
      <c r="BP48" s="3"/>
      <c r="BQ48" s="3">
        <v>6196560</v>
      </c>
      <c r="BR48" s="3"/>
      <c r="BS48" s="3">
        <v>0</v>
      </c>
      <c r="BT48" s="3"/>
      <c r="BU48" s="3">
        <f t="shared" si="1"/>
        <v>9218032</v>
      </c>
      <c r="BV48" s="3"/>
      <c r="BW48" s="14">
        <f>+BU48-GenBS!AC48</f>
        <v>0</v>
      </c>
    </row>
    <row r="49" spans="1:75" s="13" customFormat="1">
      <c r="A49" s="3" t="s">
        <v>251</v>
      </c>
      <c r="C49" s="13" t="s">
        <v>198</v>
      </c>
      <c r="E49" s="3">
        <v>406035</v>
      </c>
      <c r="F49" s="3"/>
      <c r="G49" s="3">
        <v>316601</v>
      </c>
      <c r="H49" s="3"/>
      <c r="I49" s="3">
        <v>3461864</v>
      </c>
      <c r="J49" s="3"/>
      <c r="K49" s="3">
        <v>3715</v>
      </c>
      <c r="L49" s="3"/>
      <c r="M49" s="3">
        <v>1047</v>
      </c>
      <c r="N49" s="3"/>
      <c r="O49" s="3">
        <v>235788</v>
      </c>
      <c r="P49" s="3"/>
      <c r="Q49" s="3">
        <v>75466</v>
      </c>
      <c r="R49" s="3"/>
      <c r="S49" s="3">
        <v>25767</v>
      </c>
      <c r="T49" s="3"/>
      <c r="U49" s="3">
        <v>742276</v>
      </c>
      <c r="V49" s="3"/>
      <c r="W49" s="3">
        <v>392208</v>
      </c>
      <c r="X49" s="3"/>
      <c r="Y49" s="3">
        <v>0</v>
      </c>
      <c r="Z49" s="3"/>
      <c r="AA49" s="3">
        <v>425854</v>
      </c>
      <c r="AB49" s="3" t="s">
        <v>251</v>
      </c>
      <c r="AD49" s="13" t="s">
        <v>198</v>
      </c>
      <c r="AF49" s="3">
        <v>42617</v>
      </c>
      <c r="AG49" s="3"/>
      <c r="AH49" s="3">
        <v>99917</v>
      </c>
      <c r="AI49" s="3"/>
      <c r="AJ49" s="3"/>
      <c r="AK49" s="3"/>
      <c r="AL49" s="3">
        <v>0</v>
      </c>
      <c r="AM49" s="3"/>
      <c r="AN49" s="3">
        <v>0</v>
      </c>
      <c r="AO49" s="3"/>
      <c r="AP49" s="3">
        <v>14289</v>
      </c>
      <c r="AQ49" s="3"/>
      <c r="AR49" s="3">
        <v>280871</v>
      </c>
      <c r="AS49" s="3"/>
      <c r="AT49" s="3"/>
      <c r="AU49" s="3"/>
      <c r="AV49" s="3">
        <v>0</v>
      </c>
      <c r="AW49" s="3"/>
      <c r="AX49" s="3">
        <v>0</v>
      </c>
      <c r="AY49" s="3"/>
      <c r="AZ49" s="3">
        <f t="shared" si="2"/>
        <v>6524315</v>
      </c>
      <c r="BA49" s="3"/>
      <c r="BB49" s="3">
        <v>33333</v>
      </c>
      <c r="BC49" s="3"/>
      <c r="BD49" s="3"/>
      <c r="BE49" s="3"/>
      <c r="BF49" s="3"/>
      <c r="BG49" s="3"/>
      <c r="BH49" s="3">
        <v>0</v>
      </c>
      <c r="BI49" s="3" t="s">
        <v>251</v>
      </c>
      <c r="BK49" s="13" t="s">
        <v>198</v>
      </c>
      <c r="BL49" s="3"/>
      <c r="BM49" s="3">
        <f t="shared" si="3"/>
        <v>6557648</v>
      </c>
      <c r="BN49" s="3"/>
      <c r="BO49" s="3">
        <f>GenRev!AU49-BM49</f>
        <v>56820</v>
      </c>
      <c r="BP49" s="3"/>
      <c r="BQ49" s="3">
        <v>11283653</v>
      </c>
      <c r="BR49" s="3"/>
      <c r="BS49" s="3">
        <v>0</v>
      </c>
      <c r="BT49" s="3"/>
      <c r="BU49" s="3">
        <f t="shared" si="1"/>
        <v>11340473</v>
      </c>
      <c r="BV49" s="3"/>
      <c r="BW49" s="14">
        <f>+BU49-GenBS!AC49</f>
        <v>0</v>
      </c>
    </row>
    <row r="50" spans="1:75" s="13" customFormat="1">
      <c r="A50" s="3" t="s">
        <v>252</v>
      </c>
      <c r="C50" s="13" t="s">
        <v>194</v>
      </c>
      <c r="E50" s="3">
        <v>0</v>
      </c>
      <c r="F50" s="3"/>
      <c r="G50" s="3">
        <v>65816</v>
      </c>
      <c r="H50" s="3"/>
      <c r="I50" s="3">
        <v>3375363</v>
      </c>
      <c r="J50" s="3"/>
      <c r="K50" s="3">
        <v>0</v>
      </c>
      <c r="L50" s="3"/>
      <c r="M50" s="3">
        <v>106758</v>
      </c>
      <c r="N50" s="3"/>
      <c r="O50" s="3">
        <v>397756</v>
      </c>
      <c r="P50" s="3"/>
      <c r="Q50" s="3">
        <v>378361</v>
      </c>
      <c r="R50" s="3"/>
      <c r="S50" s="3">
        <v>14796</v>
      </c>
      <c r="T50" s="3"/>
      <c r="U50" s="3">
        <v>626640</v>
      </c>
      <c r="V50" s="3"/>
      <c r="W50" s="3">
        <v>345332</v>
      </c>
      <c r="X50" s="3"/>
      <c r="Y50" s="3">
        <v>0</v>
      </c>
      <c r="Z50" s="3"/>
      <c r="AA50" s="3">
        <v>860442</v>
      </c>
      <c r="AB50" s="3" t="s">
        <v>252</v>
      </c>
      <c r="AD50" s="13" t="s">
        <v>194</v>
      </c>
      <c r="AF50" s="3">
        <v>1002</v>
      </c>
      <c r="AG50" s="3"/>
      <c r="AH50" s="3">
        <v>122198</v>
      </c>
      <c r="AI50" s="3"/>
      <c r="AJ50" s="3"/>
      <c r="AK50" s="3"/>
      <c r="AL50" s="3">
        <v>0</v>
      </c>
      <c r="AM50" s="3"/>
      <c r="AN50" s="3">
        <v>0</v>
      </c>
      <c r="AO50" s="3"/>
      <c r="AP50" s="3">
        <v>23374</v>
      </c>
      <c r="AQ50" s="3"/>
      <c r="AR50" s="3">
        <v>0</v>
      </c>
      <c r="AS50" s="3"/>
      <c r="AT50" s="3"/>
      <c r="AU50" s="3"/>
      <c r="AV50" s="3">
        <v>0</v>
      </c>
      <c r="AW50" s="3"/>
      <c r="AX50" s="3">
        <v>0</v>
      </c>
      <c r="AY50" s="3"/>
      <c r="AZ50" s="3">
        <f t="shared" si="2"/>
        <v>6317838</v>
      </c>
      <c r="BA50" s="3"/>
      <c r="BB50" s="3">
        <v>41000</v>
      </c>
      <c r="BC50" s="3"/>
      <c r="BD50" s="3"/>
      <c r="BE50" s="3"/>
      <c r="BF50" s="3"/>
      <c r="BG50" s="3"/>
      <c r="BH50" s="3">
        <v>0</v>
      </c>
      <c r="BI50" s="3" t="s">
        <v>252</v>
      </c>
      <c r="BK50" s="13" t="s">
        <v>194</v>
      </c>
      <c r="BL50" s="3"/>
      <c r="BM50" s="3">
        <f t="shared" si="3"/>
        <v>6358838</v>
      </c>
      <c r="BN50" s="3"/>
      <c r="BO50" s="3">
        <f>GenRev!AU50-BM50</f>
        <v>105686</v>
      </c>
      <c r="BP50" s="3"/>
      <c r="BQ50" s="3">
        <v>2436949</v>
      </c>
      <c r="BR50" s="3"/>
      <c r="BS50" s="3">
        <v>0</v>
      </c>
      <c r="BT50" s="3"/>
      <c r="BU50" s="3">
        <f t="shared" si="1"/>
        <v>2542635</v>
      </c>
      <c r="BV50" s="3"/>
      <c r="BW50" s="14">
        <f>+BU50-GenBS!AC50</f>
        <v>0</v>
      </c>
    </row>
    <row r="51" spans="1:75" s="13" customFormat="1">
      <c r="A51" s="3" t="s">
        <v>207</v>
      </c>
      <c r="C51" s="13" t="s">
        <v>152</v>
      </c>
      <c r="E51" s="3">
        <v>141918</v>
      </c>
      <c r="F51" s="3"/>
      <c r="G51" s="3">
        <v>0</v>
      </c>
      <c r="H51" s="3"/>
      <c r="I51" s="3">
        <v>2739079</v>
      </c>
      <c r="J51" s="3"/>
      <c r="K51" s="3">
        <v>0</v>
      </c>
      <c r="L51" s="3"/>
      <c r="M51" s="3">
        <v>0</v>
      </c>
      <c r="N51" s="3"/>
      <c r="O51" s="3">
        <v>382276</v>
      </c>
      <c r="P51" s="3"/>
      <c r="Q51" s="3">
        <v>94016</v>
      </c>
      <c r="R51" s="3"/>
      <c r="S51" s="3">
        <v>33808</v>
      </c>
      <c r="T51" s="3"/>
      <c r="U51" s="3">
        <v>464165</v>
      </c>
      <c r="V51" s="3"/>
      <c r="W51" s="3">
        <v>341627</v>
      </c>
      <c r="X51" s="3"/>
      <c r="Y51" s="3">
        <v>3937</v>
      </c>
      <c r="Z51" s="3"/>
      <c r="AA51" s="3">
        <v>429735</v>
      </c>
      <c r="AB51" s="3" t="s">
        <v>207</v>
      </c>
      <c r="AD51" s="13" t="s">
        <v>152</v>
      </c>
      <c r="AF51" s="3">
        <v>38995</v>
      </c>
      <c r="AG51" s="3"/>
      <c r="AH51" s="3">
        <v>49631</v>
      </c>
      <c r="AI51" s="3"/>
      <c r="AJ51" s="3"/>
      <c r="AK51" s="3"/>
      <c r="AL51" s="3">
        <v>0</v>
      </c>
      <c r="AM51" s="3"/>
      <c r="AN51" s="3">
        <v>0</v>
      </c>
      <c r="AO51" s="3"/>
      <c r="AP51" s="3">
        <v>8879</v>
      </c>
      <c r="AQ51" s="3"/>
      <c r="AR51" s="3">
        <v>400</v>
      </c>
      <c r="AS51" s="3"/>
      <c r="AT51" s="3"/>
      <c r="AU51" s="3"/>
      <c r="AV51" s="3">
        <v>0</v>
      </c>
      <c r="AW51" s="3"/>
      <c r="AX51" s="3">
        <v>0</v>
      </c>
      <c r="AY51" s="3"/>
      <c r="AZ51" s="3">
        <f t="shared" si="2"/>
        <v>4728466</v>
      </c>
      <c r="BA51" s="3"/>
      <c r="BB51" s="3">
        <v>125000</v>
      </c>
      <c r="BC51" s="3"/>
      <c r="BD51" s="3"/>
      <c r="BE51" s="3"/>
      <c r="BF51" s="3"/>
      <c r="BG51" s="3"/>
      <c r="BH51" s="3">
        <v>0</v>
      </c>
      <c r="BI51" s="3" t="s">
        <v>207</v>
      </c>
      <c r="BK51" s="13" t="s">
        <v>152</v>
      </c>
      <c r="BL51" s="3"/>
      <c r="BM51" s="3">
        <f t="shared" si="3"/>
        <v>4853466</v>
      </c>
      <c r="BN51" s="3"/>
      <c r="BO51" s="3">
        <f>GenRev!AU51-BM51</f>
        <v>483493</v>
      </c>
      <c r="BP51" s="3"/>
      <c r="BQ51" s="3">
        <v>3162287</v>
      </c>
      <c r="BR51" s="3"/>
      <c r="BS51" s="3">
        <v>0</v>
      </c>
      <c r="BT51" s="3"/>
      <c r="BU51" s="3">
        <f t="shared" si="1"/>
        <v>3645780</v>
      </c>
      <c r="BV51" s="3"/>
      <c r="BW51" s="14">
        <f>+BU51-GenBS!AC51</f>
        <v>0</v>
      </c>
    </row>
    <row r="52" spans="1:75" s="13" customFormat="1">
      <c r="A52" s="3" t="s">
        <v>374</v>
      </c>
      <c r="C52" s="13" t="s">
        <v>154</v>
      </c>
      <c r="E52" s="3">
        <v>0</v>
      </c>
      <c r="F52" s="3"/>
      <c r="G52" s="3">
        <v>631684</v>
      </c>
      <c r="H52" s="3"/>
      <c r="I52" s="3">
        <v>5565120</v>
      </c>
      <c r="J52" s="3"/>
      <c r="K52" s="3">
        <v>0</v>
      </c>
      <c r="L52" s="3"/>
      <c r="M52" s="3">
        <v>0</v>
      </c>
      <c r="N52" s="3"/>
      <c r="O52" s="3">
        <v>920429</v>
      </c>
      <c r="P52" s="3"/>
      <c r="Q52" s="3">
        <v>961372</v>
      </c>
      <c r="R52" s="3"/>
      <c r="S52" s="3">
        <v>43940</v>
      </c>
      <c r="T52" s="3"/>
      <c r="U52" s="3">
        <v>682862</v>
      </c>
      <c r="V52" s="3"/>
      <c r="W52" s="3">
        <v>531916</v>
      </c>
      <c r="X52" s="3"/>
      <c r="Y52" s="3">
        <v>131674</v>
      </c>
      <c r="Z52" s="3"/>
      <c r="AA52" s="3">
        <v>1270137</v>
      </c>
      <c r="AB52" s="3" t="s">
        <v>374</v>
      </c>
      <c r="AD52" s="13" t="s">
        <v>154</v>
      </c>
      <c r="AF52" s="3">
        <v>42113</v>
      </c>
      <c r="AG52" s="3"/>
      <c r="AH52" s="3">
        <v>8300</v>
      </c>
      <c r="AI52" s="3"/>
      <c r="AJ52" s="3"/>
      <c r="AK52" s="3"/>
      <c r="AL52" s="3">
        <v>0</v>
      </c>
      <c r="AM52" s="3"/>
      <c r="AN52" s="3">
        <v>0</v>
      </c>
      <c r="AO52" s="3"/>
      <c r="AP52" s="3">
        <v>26884</v>
      </c>
      <c r="AQ52" s="3"/>
      <c r="AR52" s="3">
        <v>0</v>
      </c>
      <c r="AS52" s="3"/>
      <c r="AT52" s="3"/>
      <c r="AU52" s="3"/>
      <c r="AV52" s="3">
        <v>395861</v>
      </c>
      <c r="AW52" s="3"/>
      <c r="AX52" s="3">
        <v>129040</v>
      </c>
      <c r="AY52" s="3"/>
      <c r="AZ52" s="3">
        <f t="shared" si="2"/>
        <v>11341332</v>
      </c>
      <c r="BA52" s="3"/>
      <c r="BB52" s="3">
        <v>450000</v>
      </c>
      <c r="BC52" s="3"/>
      <c r="BD52" s="3"/>
      <c r="BE52" s="3"/>
      <c r="BF52" s="3"/>
      <c r="BG52" s="3"/>
      <c r="BH52" s="3">
        <v>0</v>
      </c>
      <c r="BI52" s="3" t="s">
        <v>374</v>
      </c>
      <c r="BK52" s="13" t="s">
        <v>154</v>
      </c>
      <c r="BL52" s="3"/>
      <c r="BM52" s="3">
        <f t="shared" si="3"/>
        <v>11791332</v>
      </c>
      <c r="BN52" s="3"/>
      <c r="BO52" s="3">
        <f>GenRev!AU52-BM52</f>
        <v>-378425</v>
      </c>
      <c r="BP52" s="3"/>
      <c r="BQ52" s="3">
        <v>8321611</v>
      </c>
      <c r="BR52" s="3"/>
      <c r="BS52" s="3">
        <v>0</v>
      </c>
      <c r="BT52" s="3"/>
      <c r="BU52" s="3">
        <f t="shared" si="1"/>
        <v>7943186</v>
      </c>
      <c r="BV52" s="3"/>
      <c r="BW52" s="14">
        <f>+BU52-GenBS!AC52</f>
        <v>0</v>
      </c>
    </row>
    <row r="53" spans="1:75" s="13" customFormat="1">
      <c r="A53" s="3" t="s">
        <v>221</v>
      </c>
      <c r="C53" s="13" t="s">
        <v>197</v>
      </c>
      <c r="E53" s="3">
        <v>918495</v>
      </c>
      <c r="F53" s="3"/>
      <c r="G53" s="3">
        <v>155181</v>
      </c>
      <c r="H53" s="3"/>
      <c r="I53" s="3">
        <v>3165016</v>
      </c>
      <c r="J53" s="3"/>
      <c r="K53" s="3">
        <v>0</v>
      </c>
      <c r="L53" s="3"/>
      <c r="M53" s="3">
        <v>156</v>
      </c>
      <c r="N53" s="3"/>
      <c r="O53" s="3">
        <v>925454</v>
      </c>
      <c r="P53" s="3"/>
      <c r="Q53" s="3">
        <v>538909</v>
      </c>
      <c r="R53" s="3"/>
      <c r="S53" s="3">
        <v>5332</v>
      </c>
      <c r="T53" s="3"/>
      <c r="U53" s="3">
        <v>291768</v>
      </c>
      <c r="V53" s="3"/>
      <c r="W53" s="3">
        <v>250892</v>
      </c>
      <c r="X53" s="3"/>
      <c r="Y53" s="3">
        <v>38375</v>
      </c>
      <c r="Z53" s="3"/>
      <c r="AA53" s="3">
        <v>905158</v>
      </c>
      <c r="AB53" s="3" t="s">
        <v>221</v>
      </c>
      <c r="AD53" s="13" t="s">
        <v>197</v>
      </c>
      <c r="AF53" s="3">
        <v>0</v>
      </c>
      <c r="AG53" s="3"/>
      <c r="AH53" s="3">
        <v>198418</v>
      </c>
      <c r="AI53" s="3"/>
      <c r="AJ53" s="3"/>
      <c r="AK53" s="3"/>
      <c r="AL53" s="3">
        <v>0</v>
      </c>
      <c r="AM53" s="3"/>
      <c r="AN53" s="3">
        <v>0</v>
      </c>
      <c r="AO53" s="3"/>
      <c r="AP53" s="3">
        <v>64774</v>
      </c>
      <c r="AQ53" s="3"/>
      <c r="AR53" s="3">
        <v>1956</v>
      </c>
      <c r="AS53" s="3"/>
      <c r="AT53" s="3"/>
      <c r="AU53" s="3"/>
      <c r="AV53" s="3">
        <v>0</v>
      </c>
      <c r="AW53" s="3"/>
      <c r="AX53" s="3">
        <v>0</v>
      </c>
      <c r="AY53" s="3"/>
      <c r="AZ53" s="3">
        <f t="shared" si="2"/>
        <v>7459884</v>
      </c>
      <c r="BA53" s="3"/>
      <c r="BB53" s="3">
        <v>0</v>
      </c>
      <c r="BC53" s="3"/>
      <c r="BD53" s="3"/>
      <c r="BE53" s="3"/>
      <c r="BF53" s="3"/>
      <c r="BG53" s="3"/>
      <c r="BH53" s="3">
        <v>0</v>
      </c>
      <c r="BI53" s="3" t="s">
        <v>221</v>
      </c>
      <c r="BK53" s="13" t="s">
        <v>197</v>
      </c>
      <c r="BL53" s="3"/>
      <c r="BM53" s="3">
        <f t="shared" si="3"/>
        <v>7459884</v>
      </c>
      <c r="BN53" s="3"/>
      <c r="BO53" s="3">
        <f>GenRev!AU53-BM53</f>
        <v>-13509</v>
      </c>
      <c r="BP53" s="3"/>
      <c r="BQ53" s="3">
        <v>9911601</v>
      </c>
      <c r="BR53" s="3"/>
      <c r="BS53" s="3">
        <v>0</v>
      </c>
      <c r="BT53" s="3"/>
      <c r="BU53" s="3">
        <f t="shared" si="1"/>
        <v>9898092</v>
      </c>
      <c r="BV53" s="3"/>
      <c r="BW53" s="14">
        <f>+BU53-GenBS!AC53</f>
        <v>0</v>
      </c>
    </row>
    <row r="54" spans="1:75" s="13" customFormat="1">
      <c r="A54" s="3" t="s">
        <v>277</v>
      </c>
      <c r="C54" s="13" t="s">
        <v>216</v>
      </c>
      <c r="E54" s="3">
        <v>1654968</v>
      </c>
      <c r="F54" s="3"/>
      <c r="G54" s="3">
        <v>827837</v>
      </c>
      <c r="H54" s="3"/>
      <c r="I54" s="3">
        <v>3329773</v>
      </c>
      <c r="J54" s="3"/>
      <c r="K54" s="3">
        <v>0</v>
      </c>
      <c r="L54" s="3"/>
      <c r="M54" s="3">
        <v>133934</v>
      </c>
      <c r="N54" s="3"/>
      <c r="O54" s="3">
        <v>791906</v>
      </c>
      <c r="P54" s="3"/>
      <c r="Q54" s="3">
        <v>1180222</v>
      </c>
      <c r="R54" s="3"/>
      <c r="S54" s="3">
        <v>95370</v>
      </c>
      <c r="T54" s="3"/>
      <c r="U54" s="3">
        <v>881859</v>
      </c>
      <c r="V54" s="3"/>
      <c r="W54" s="3">
        <v>387977</v>
      </c>
      <c r="X54" s="3"/>
      <c r="Y54" s="3">
        <v>0</v>
      </c>
      <c r="Z54" s="3"/>
      <c r="AA54" s="3">
        <v>1374665</v>
      </c>
      <c r="AB54" s="3" t="s">
        <v>277</v>
      </c>
      <c r="AD54" s="13" t="s">
        <v>216</v>
      </c>
      <c r="AF54" s="3">
        <v>21707</v>
      </c>
      <c r="AG54" s="3"/>
      <c r="AH54" s="3">
        <v>48250</v>
      </c>
      <c r="AI54" s="3"/>
      <c r="AJ54" s="3"/>
      <c r="AK54" s="3"/>
      <c r="AL54" s="3">
        <v>0</v>
      </c>
      <c r="AM54" s="3"/>
      <c r="AN54" s="3">
        <v>0</v>
      </c>
      <c r="AO54" s="3"/>
      <c r="AP54" s="3">
        <v>34815</v>
      </c>
      <c r="AQ54" s="3"/>
      <c r="AR54" s="3">
        <v>129381</v>
      </c>
      <c r="AS54" s="3"/>
      <c r="AT54" s="3"/>
      <c r="AU54" s="3"/>
      <c r="AV54" s="3">
        <v>31950</v>
      </c>
      <c r="AW54" s="3"/>
      <c r="AX54" s="3">
        <v>9511</v>
      </c>
      <c r="AY54" s="3"/>
      <c r="AZ54" s="3">
        <f t="shared" si="2"/>
        <v>10934125</v>
      </c>
      <c r="BA54" s="3"/>
      <c r="BB54" s="3">
        <v>933781</v>
      </c>
      <c r="BC54" s="3"/>
      <c r="BD54" s="3"/>
      <c r="BE54" s="3"/>
      <c r="BF54" s="3"/>
      <c r="BG54" s="3"/>
      <c r="BH54" s="3">
        <v>0</v>
      </c>
      <c r="BI54" s="3" t="s">
        <v>277</v>
      </c>
      <c r="BK54" s="13" t="s">
        <v>216</v>
      </c>
      <c r="BL54" s="3"/>
      <c r="BM54" s="3">
        <f t="shared" si="3"/>
        <v>11867906</v>
      </c>
      <c r="BN54" s="3"/>
      <c r="BO54" s="3">
        <f>GenRev!AU54-BM54</f>
        <v>1241460</v>
      </c>
      <c r="BP54" s="3"/>
      <c r="BQ54" s="3">
        <v>7141486</v>
      </c>
      <c r="BR54" s="3"/>
      <c r="BS54" s="3">
        <v>0</v>
      </c>
      <c r="BT54" s="3"/>
      <c r="BU54" s="3">
        <f t="shared" si="1"/>
        <v>8382946</v>
      </c>
      <c r="BV54" s="3"/>
      <c r="BW54" s="14">
        <f>+BU54-GenBS!AC54</f>
        <v>0</v>
      </c>
    </row>
    <row r="55" spans="1:75" s="13" customFormat="1">
      <c r="A55" s="3" t="s">
        <v>290</v>
      </c>
      <c r="C55" s="13" t="s">
        <v>147</v>
      </c>
      <c r="E55" s="3">
        <v>338143</v>
      </c>
      <c r="F55" s="3"/>
      <c r="G55" s="3">
        <v>0</v>
      </c>
      <c r="H55" s="3"/>
      <c r="I55" s="3">
        <v>3492396</v>
      </c>
      <c r="J55" s="3"/>
      <c r="K55" s="3">
        <v>0</v>
      </c>
      <c r="L55" s="3"/>
      <c r="M55" s="3">
        <v>0</v>
      </c>
      <c r="N55" s="3"/>
      <c r="O55" s="3">
        <v>386680</v>
      </c>
      <c r="P55" s="3"/>
      <c r="Q55" s="3">
        <v>114331</v>
      </c>
      <c r="R55" s="3"/>
      <c r="S55" s="3">
        <v>83958</v>
      </c>
      <c r="T55" s="3"/>
      <c r="U55" s="3">
        <v>828459</v>
      </c>
      <c r="V55" s="3"/>
      <c r="W55" s="3">
        <v>448587</v>
      </c>
      <c r="X55" s="3"/>
      <c r="Y55" s="3">
        <v>70967</v>
      </c>
      <c r="Z55" s="3"/>
      <c r="AA55" s="3">
        <v>771001</v>
      </c>
      <c r="AB55" s="3" t="s">
        <v>290</v>
      </c>
      <c r="AD55" s="13" t="s">
        <v>147</v>
      </c>
      <c r="AF55" s="3">
        <v>1390</v>
      </c>
      <c r="AG55" s="3"/>
      <c r="AH55" s="3">
        <v>57201</v>
      </c>
      <c r="AI55" s="3"/>
      <c r="AJ55" s="3"/>
      <c r="AK55" s="3"/>
      <c r="AL55" s="3">
        <v>0</v>
      </c>
      <c r="AM55" s="3"/>
      <c r="AN55" s="3">
        <v>117</v>
      </c>
      <c r="AO55" s="3"/>
      <c r="AP55" s="3">
        <v>4033</v>
      </c>
      <c r="AQ55" s="3"/>
      <c r="AR55" s="3">
        <v>0</v>
      </c>
      <c r="AS55" s="3"/>
      <c r="AT55" s="3"/>
      <c r="AU55" s="3"/>
      <c r="AV55" s="3">
        <v>0</v>
      </c>
      <c r="AW55" s="3"/>
      <c r="AX55" s="3">
        <v>0</v>
      </c>
      <c r="AY55" s="3"/>
      <c r="AZ55" s="3">
        <f t="shared" si="2"/>
        <v>6597263</v>
      </c>
      <c r="BA55" s="3"/>
      <c r="BB55" s="3">
        <v>525000</v>
      </c>
      <c r="BC55" s="3"/>
      <c r="BD55" s="3"/>
      <c r="BE55" s="3"/>
      <c r="BF55" s="3"/>
      <c r="BG55" s="3"/>
      <c r="BH55" s="3">
        <v>0</v>
      </c>
      <c r="BI55" s="3" t="s">
        <v>290</v>
      </c>
      <c r="BK55" s="13" t="s">
        <v>147</v>
      </c>
      <c r="BL55" s="3"/>
      <c r="BM55" s="3">
        <f t="shared" si="3"/>
        <v>7122263</v>
      </c>
      <c r="BN55" s="3"/>
      <c r="BO55" s="3">
        <f>GenRev!AU55-BM55</f>
        <v>-92060</v>
      </c>
      <c r="BP55" s="3"/>
      <c r="BQ55" s="3">
        <v>2859021</v>
      </c>
      <c r="BR55" s="3"/>
      <c r="BS55" s="3">
        <v>0</v>
      </c>
      <c r="BT55" s="3"/>
      <c r="BU55" s="3">
        <f t="shared" si="1"/>
        <v>2766961</v>
      </c>
      <c r="BV55" s="3"/>
      <c r="BW55" s="14">
        <f>+BU55-GenBS!AC55</f>
        <v>0</v>
      </c>
    </row>
    <row r="56" spans="1:75" s="13" customFormat="1">
      <c r="A56" s="3" t="s">
        <v>217</v>
      </c>
      <c r="C56" s="13" t="s">
        <v>218</v>
      </c>
      <c r="E56" s="3">
        <v>265246</v>
      </c>
      <c r="F56" s="3"/>
      <c r="G56" s="3">
        <v>0</v>
      </c>
      <c r="H56" s="3"/>
      <c r="I56" s="3">
        <v>5392806</v>
      </c>
      <c r="J56" s="3"/>
      <c r="K56" s="3">
        <v>0</v>
      </c>
      <c r="L56" s="3"/>
      <c r="M56" s="3">
        <v>0</v>
      </c>
      <c r="N56" s="3"/>
      <c r="O56" s="3">
        <v>459013</v>
      </c>
      <c r="P56" s="3"/>
      <c r="Q56" s="3">
        <v>300634</v>
      </c>
      <c r="R56" s="3"/>
      <c r="S56" s="3">
        <v>118788</v>
      </c>
      <c r="T56" s="3"/>
      <c r="U56" s="3">
        <v>992920</v>
      </c>
      <c r="V56" s="3"/>
      <c r="W56" s="3">
        <v>404696</v>
      </c>
      <c r="X56" s="3"/>
      <c r="Y56" s="3">
        <v>169523</v>
      </c>
      <c r="Z56" s="3"/>
      <c r="AA56" s="3">
        <v>1008332</v>
      </c>
      <c r="AB56" s="3" t="s">
        <v>217</v>
      </c>
      <c r="AD56" s="13" t="s">
        <v>218</v>
      </c>
      <c r="AF56" s="3">
        <v>7744</v>
      </c>
      <c r="AG56" s="3"/>
      <c r="AH56" s="3">
        <v>1125702</v>
      </c>
      <c r="AI56" s="3"/>
      <c r="AJ56" s="3"/>
      <c r="AK56" s="3"/>
      <c r="AL56" s="3">
        <v>0</v>
      </c>
      <c r="AM56" s="3"/>
      <c r="AN56" s="3">
        <v>1108</v>
      </c>
      <c r="AO56" s="3"/>
      <c r="AP56" s="3">
        <v>33603</v>
      </c>
      <c r="AQ56" s="3"/>
      <c r="AR56" s="3">
        <v>809201</v>
      </c>
      <c r="AS56" s="3"/>
      <c r="AT56" s="3"/>
      <c r="AU56" s="3"/>
      <c r="AV56" s="3">
        <v>41914</v>
      </c>
      <c r="AW56" s="3"/>
      <c r="AX56" s="3">
        <v>29239</v>
      </c>
      <c r="AY56" s="3"/>
      <c r="AZ56" s="3">
        <f t="shared" si="2"/>
        <v>11160469</v>
      </c>
      <c r="BA56" s="3"/>
      <c r="BB56" s="3">
        <v>115280</v>
      </c>
      <c r="BC56" s="3"/>
      <c r="BD56" s="3"/>
      <c r="BE56" s="3"/>
      <c r="BF56" s="3"/>
      <c r="BG56" s="3"/>
      <c r="BH56" s="3">
        <v>0</v>
      </c>
      <c r="BI56" s="3" t="s">
        <v>217</v>
      </c>
      <c r="BK56" s="13" t="s">
        <v>218</v>
      </c>
      <c r="BL56" s="3"/>
      <c r="BM56" s="3">
        <f t="shared" si="3"/>
        <v>11275749</v>
      </c>
      <c r="BN56" s="3"/>
      <c r="BO56" s="3">
        <f>GenRev!AU56-BM56</f>
        <v>-341198</v>
      </c>
      <c r="BP56" s="3"/>
      <c r="BQ56" s="3">
        <v>4080917</v>
      </c>
      <c r="BR56" s="3"/>
      <c r="BS56" s="3">
        <v>0</v>
      </c>
      <c r="BT56" s="3"/>
      <c r="BU56" s="3">
        <f t="shared" si="1"/>
        <v>3739719</v>
      </c>
      <c r="BV56" s="3"/>
      <c r="BW56" s="14">
        <f>+BU56-GenBS!AC56</f>
        <v>0</v>
      </c>
    </row>
    <row r="57" spans="1:75" s="13" customFormat="1">
      <c r="A57" s="3" t="s">
        <v>375</v>
      </c>
      <c r="C57" s="13" t="s">
        <v>199</v>
      </c>
      <c r="E57" s="3">
        <v>2010806</v>
      </c>
      <c r="F57" s="3"/>
      <c r="G57" s="3">
        <v>687553</v>
      </c>
      <c r="H57" s="3"/>
      <c r="I57" s="3">
        <v>4829480</v>
      </c>
      <c r="J57" s="3"/>
      <c r="K57" s="3">
        <v>0</v>
      </c>
      <c r="L57" s="3"/>
      <c r="M57" s="3">
        <v>0</v>
      </c>
      <c r="N57" s="3"/>
      <c r="O57" s="3">
        <v>1311103</v>
      </c>
      <c r="P57" s="3"/>
      <c r="Q57" s="3">
        <v>334420</v>
      </c>
      <c r="R57" s="3"/>
      <c r="S57" s="3">
        <v>66398</v>
      </c>
      <c r="T57" s="3"/>
      <c r="U57" s="3">
        <v>2023479</v>
      </c>
      <c r="V57" s="3"/>
      <c r="W57" s="3">
        <v>549581</v>
      </c>
      <c r="X57" s="3"/>
      <c r="Y57" s="3">
        <v>59401</v>
      </c>
      <c r="Z57" s="3"/>
      <c r="AA57" s="3">
        <v>1074158</v>
      </c>
      <c r="AB57" s="3" t="s">
        <v>375</v>
      </c>
      <c r="AD57" s="13" t="s">
        <v>199</v>
      </c>
      <c r="AF57" s="3">
        <v>26508</v>
      </c>
      <c r="AG57" s="3"/>
      <c r="AH57" s="3">
        <v>79737</v>
      </c>
      <c r="AI57" s="3"/>
      <c r="AJ57" s="3"/>
      <c r="AK57" s="3"/>
      <c r="AL57" s="3">
        <v>0</v>
      </c>
      <c r="AM57" s="3"/>
      <c r="AN57" s="3">
        <v>1609</v>
      </c>
      <c r="AO57" s="3"/>
      <c r="AP57" s="3">
        <v>105365</v>
      </c>
      <c r="AQ57" s="3"/>
      <c r="AR57" s="3">
        <v>0</v>
      </c>
      <c r="AS57" s="3"/>
      <c r="AT57" s="3"/>
      <c r="AU57" s="3"/>
      <c r="AV57" s="3">
        <v>165000</v>
      </c>
      <c r="AW57" s="3"/>
      <c r="AX57" s="3">
        <v>272095</v>
      </c>
      <c r="AY57" s="3"/>
      <c r="AZ57" s="3">
        <f t="shared" si="2"/>
        <v>13596693</v>
      </c>
      <c r="BA57" s="3"/>
      <c r="BB57" s="3">
        <v>467203</v>
      </c>
      <c r="BC57" s="3"/>
      <c r="BD57" s="3"/>
      <c r="BE57" s="3"/>
      <c r="BF57" s="3"/>
      <c r="BG57" s="3"/>
      <c r="BH57" s="3">
        <v>0</v>
      </c>
      <c r="BI57" s="3" t="s">
        <v>375</v>
      </c>
      <c r="BK57" s="13" t="s">
        <v>199</v>
      </c>
      <c r="BL57" s="3"/>
      <c r="BM57" s="3">
        <f t="shared" si="3"/>
        <v>14063896</v>
      </c>
      <c r="BN57" s="3"/>
      <c r="BO57" s="3">
        <f>GenRev!AU57-BM57</f>
        <v>-1067054</v>
      </c>
      <c r="BP57" s="3"/>
      <c r="BQ57" s="3">
        <v>8704831</v>
      </c>
      <c r="BR57" s="3"/>
      <c r="BS57" s="3">
        <v>0</v>
      </c>
      <c r="BT57" s="3"/>
      <c r="BU57" s="3">
        <f t="shared" si="1"/>
        <v>7637777</v>
      </c>
      <c r="BV57" s="3"/>
      <c r="BW57" s="14">
        <f>+BU57-GenBS!AC57</f>
        <v>0</v>
      </c>
    </row>
    <row r="58" spans="1:75" s="13" customFormat="1">
      <c r="A58" s="3" t="s">
        <v>208</v>
      </c>
      <c r="C58" s="13" t="s">
        <v>156</v>
      </c>
      <c r="E58" s="3">
        <v>288449</v>
      </c>
      <c r="F58" s="3"/>
      <c r="G58" s="3">
        <v>135057</v>
      </c>
      <c r="H58" s="3"/>
      <c r="I58" s="3">
        <v>3647484</v>
      </c>
      <c r="J58" s="3"/>
      <c r="K58" s="3">
        <v>345041</v>
      </c>
      <c r="L58" s="3"/>
      <c r="M58" s="3">
        <v>0</v>
      </c>
      <c r="N58" s="3"/>
      <c r="O58" s="3">
        <v>465707</v>
      </c>
      <c r="P58" s="3"/>
      <c r="Q58" s="3">
        <v>159811</v>
      </c>
      <c r="R58" s="3"/>
      <c r="S58" s="3">
        <v>69991</v>
      </c>
      <c r="T58" s="3"/>
      <c r="U58" s="3">
        <v>415292</v>
      </c>
      <c r="V58" s="3"/>
      <c r="W58" s="3">
        <v>447159</v>
      </c>
      <c r="X58" s="3"/>
      <c r="Y58" s="3">
        <v>215</v>
      </c>
      <c r="Z58" s="3"/>
      <c r="AA58" s="3">
        <v>695918</v>
      </c>
      <c r="AB58" s="3" t="s">
        <v>208</v>
      </c>
      <c r="AD58" s="13" t="s">
        <v>156</v>
      </c>
      <c r="AF58" s="3">
        <v>0</v>
      </c>
      <c r="AG58" s="3"/>
      <c r="AH58" s="3">
        <v>101062</v>
      </c>
      <c r="AI58" s="3"/>
      <c r="AJ58" s="3"/>
      <c r="AK58" s="3"/>
      <c r="AL58" s="3">
        <v>0</v>
      </c>
      <c r="AM58" s="3"/>
      <c r="AN58" s="3">
        <v>0</v>
      </c>
      <c r="AO58" s="3"/>
      <c r="AP58" s="3">
        <v>45991</v>
      </c>
      <c r="AQ58" s="3"/>
      <c r="AR58" s="3">
        <v>0</v>
      </c>
      <c r="AS58" s="3"/>
      <c r="AT58" s="3"/>
      <c r="AU58" s="3"/>
      <c r="AV58" s="3">
        <v>0</v>
      </c>
      <c r="AW58" s="3"/>
      <c r="AX58" s="3">
        <v>0</v>
      </c>
      <c r="AY58" s="3"/>
      <c r="AZ58" s="3">
        <f t="shared" si="2"/>
        <v>6817177</v>
      </c>
      <c r="BA58" s="3"/>
      <c r="BB58" s="3">
        <v>100000</v>
      </c>
      <c r="BC58" s="3"/>
      <c r="BD58" s="3"/>
      <c r="BE58" s="3"/>
      <c r="BF58" s="3"/>
      <c r="BG58" s="3"/>
      <c r="BH58" s="3">
        <v>0</v>
      </c>
      <c r="BI58" s="3" t="s">
        <v>208</v>
      </c>
      <c r="BK58" s="13" t="s">
        <v>156</v>
      </c>
      <c r="BL58" s="3"/>
      <c r="BM58" s="3">
        <f t="shared" si="3"/>
        <v>6917177</v>
      </c>
      <c r="BN58" s="3"/>
      <c r="BO58" s="3">
        <f>GenRev!AU58-BM58</f>
        <v>470565</v>
      </c>
      <c r="BP58" s="3"/>
      <c r="BQ58" s="3">
        <v>9449319</v>
      </c>
      <c r="BR58" s="3"/>
      <c r="BS58" s="3">
        <v>0</v>
      </c>
      <c r="BT58" s="3"/>
      <c r="BU58" s="3">
        <f t="shared" si="1"/>
        <v>9919884</v>
      </c>
      <c r="BV58" s="3"/>
      <c r="BW58" s="14">
        <f>+BU58-GenBS!AC58</f>
        <v>0</v>
      </c>
    </row>
    <row r="59" spans="1:75" s="13" customFormat="1">
      <c r="A59" s="3" t="s">
        <v>363</v>
      </c>
      <c r="C59" s="13" t="s">
        <v>182</v>
      </c>
      <c r="E59" s="3">
        <v>1865572</v>
      </c>
      <c r="F59" s="3"/>
      <c r="G59" s="3">
        <v>533434</v>
      </c>
      <c r="H59" s="3"/>
      <c r="I59" s="3">
        <v>7592560</v>
      </c>
      <c r="J59" s="3"/>
      <c r="K59" s="3">
        <v>0</v>
      </c>
      <c r="L59" s="3"/>
      <c r="M59" s="3">
        <v>121081</v>
      </c>
      <c r="N59" s="3"/>
      <c r="O59" s="3">
        <v>1229419</v>
      </c>
      <c r="P59" s="3"/>
      <c r="Q59" s="3">
        <v>802075</v>
      </c>
      <c r="R59" s="3"/>
      <c r="S59" s="3">
        <v>36078</v>
      </c>
      <c r="T59" s="3"/>
      <c r="U59" s="3">
        <v>735799</v>
      </c>
      <c r="V59" s="3"/>
      <c r="W59" s="3">
        <v>577019</v>
      </c>
      <c r="X59" s="3"/>
      <c r="Y59" s="3">
        <v>163128</v>
      </c>
      <c r="Z59" s="3"/>
      <c r="AA59" s="3">
        <v>1210131</v>
      </c>
      <c r="AB59" s="3" t="s">
        <v>363</v>
      </c>
      <c r="AD59" s="13" t="s">
        <v>182</v>
      </c>
      <c r="AF59" s="3">
        <v>38675</v>
      </c>
      <c r="AG59" s="3"/>
      <c r="AH59" s="3">
        <v>792171</v>
      </c>
      <c r="AI59" s="3"/>
      <c r="AJ59" s="3"/>
      <c r="AK59" s="3"/>
      <c r="AL59" s="3">
        <v>0</v>
      </c>
      <c r="AM59" s="3"/>
      <c r="AN59" s="3">
        <v>283155</v>
      </c>
      <c r="AO59" s="3"/>
      <c r="AP59" s="3">
        <v>52719</v>
      </c>
      <c r="AQ59" s="3"/>
      <c r="AR59" s="3">
        <v>66983</v>
      </c>
      <c r="AS59" s="3"/>
      <c r="AT59" s="3"/>
      <c r="AU59" s="3"/>
      <c r="AV59" s="3">
        <v>0</v>
      </c>
      <c r="AW59" s="3"/>
      <c r="AX59" s="3">
        <v>0</v>
      </c>
      <c r="AY59" s="3"/>
      <c r="AZ59" s="3">
        <f t="shared" si="2"/>
        <v>16099999</v>
      </c>
      <c r="BA59" s="3"/>
      <c r="BB59" s="3">
        <v>375000</v>
      </c>
      <c r="BC59" s="3"/>
      <c r="BD59" s="3"/>
      <c r="BE59" s="3"/>
      <c r="BF59" s="3"/>
      <c r="BG59" s="3"/>
      <c r="BH59" s="3">
        <v>0</v>
      </c>
      <c r="BI59" s="3" t="s">
        <v>363</v>
      </c>
      <c r="BK59" s="13" t="s">
        <v>182</v>
      </c>
      <c r="BL59" s="3"/>
      <c r="BM59" s="3">
        <f t="shared" si="3"/>
        <v>16474999</v>
      </c>
      <c r="BN59" s="3"/>
      <c r="BO59" s="3">
        <f>GenRev!AU59-BM59</f>
        <v>1040296</v>
      </c>
      <c r="BP59" s="3"/>
      <c r="BQ59" s="3">
        <v>2352539</v>
      </c>
      <c r="BR59" s="3"/>
      <c r="BS59" s="3">
        <v>0</v>
      </c>
      <c r="BT59" s="3"/>
      <c r="BU59" s="3">
        <f t="shared" si="1"/>
        <v>3392835</v>
      </c>
      <c r="BV59" s="3"/>
      <c r="BW59" s="14">
        <f>+BU59-GenBS!AC59</f>
        <v>0</v>
      </c>
    </row>
    <row r="60" spans="1:75" s="13" customFormat="1">
      <c r="A60" s="3" t="s">
        <v>253</v>
      </c>
      <c r="C60" s="13" t="s">
        <v>193</v>
      </c>
      <c r="E60" s="3">
        <v>191158</v>
      </c>
      <c r="F60" s="3"/>
      <c r="G60" s="3">
        <v>126125</v>
      </c>
      <c r="H60" s="3"/>
      <c r="I60" s="3">
        <v>8228950</v>
      </c>
      <c r="J60" s="3"/>
      <c r="K60" s="3">
        <v>0</v>
      </c>
      <c r="L60" s="3"/>
      <c r="M60" s="3">
        <v>0</v>
      </c>
      <c r="N60" s="3"/>
      <c r="O60" s="3">
        <v>565745</v>
      </c>
      <c r="P60" s="3"/>
      <c r="Q60" s="3">
        <v>623633</v>
      </c>
      <c r="R60" s="3"/>
      <c r="S60" s="3">
        <v>107707</v>
      </c>
      <c r="T60" s="3"/>
      <c r="U60" s="3">
        <v>858462</v>
      </c>
      <c r="V60" s="3"/>
      <c r="W60" s="3">
        <v>540521</v>
      </c>
      <c r="X60" s="3"/>
      <c r="Y60" s="3">
        <v>0</v>
      </c>
      <c r="Z60" s="3"/>
      <c r="AA60" s="3">
        <v>1344424</v>
      </c>
      <c r="AB60" s="3" t="s">
        <v>253</v>
      </c>
      <c r="AD60" s="13" t="s">
        <v>193</v>
      </c>
      <c r="AF60" s="3">
        <v>58921</v>
      </c>
      <c r="AG60" s="3"/>
      <c r="AH60" s="3">
        <v>0</v>
      </c>
      <c r="AI60" s="3"/>
      <c r="AJ60" s="3"/>
      <c r="AK60" s="3"/>
      <c r="AL60" s="3">
        <v>0</v>
      </c>
      <c r="AM60" s="3"/>
      <c r="AN60" s="3">
        <v>0</v>
      </c>
      <c r="AO60" s="3"/>
      <c r="AP60" s="3">
        <v>9366</v>
      </c>
      <c r="AQ60" s="3"/>
      <c r="AR60" s="3">
        <v>0</v>
      </c>
      <c r="AS60" s="3"/>
      <c r="AT60" s="3"/>
      <c r="AU60" s="3"/>
      <c r="AV60" s="3">
        <v>0</v>
      </c>
      <c r="AW60" s="3"/>
      <c r="AX60" s="3">
        <v>103069</v>
      </c>
      <c r="AY60" s="3"/>
      <c r="AZ60" s="3">
        <f t="shared" si="2"/>
        <v>12758081</v>
      </c>
      <c r="BA60" s="3"/>
      <c r="BB60" s="3">
        <v>1209644</v>
      </c>
      <c r="BC60" s="3"/>
      <c r="BD60" s="3"/>
      <c r="BE60" s="3"/>
      <c r="BF60" s="3"/>
      <c r="BG60" s="3"/>
      <c r="BH60" s="3">
        <v>0</v>
      </c>
      <c r="BI60" s="3" t="s">
        <v>253</v>
      </c>
      <c r="BK60" s="13" t="s">
        <v>193</v>
      </c>
      <c r="BL60" s="3"/>
      <c r="BM60" s="3">
        <f t="shared" si="3"/>
        <v>13967725</v>
      </c>
      <c r="BN60" s="3"/>
      <c r="BO60" s="3">
        <f>GenRev!AU60-BM60</f>
        <v>-785289</v>
      </c>
      <c r="BP60" s="3"/>
      <c r="BQ60" s="3">
        <v>6191161</v>
      </c>
      <c r="BR60" s="3"/>
      <c r="BS60" s="3">
        <v>0</v>
      </c>
      <c r="BT60" s="3"/>
      <c r="BU60" s="3">
        <f t="shared" si="1"/>
        <v>5405872</v>
      </c>
      <c r="BV60" s="3"/>
      <c r="BW60" s="14">
        <f>+BU60-GenBS!AC60</f>
        <v>0</v>
      </c>
    </row>
    <row r="61" spans="1:75" s="13" customFormat="1">
      <c r="A61" s="3" t="s">
        <v>254</v>
      </c>
      <c r="C61" s="13" t="s">
        <v>202</v>
      </c>
      <c r="E61" s="3">
        <v>0</v>
      </c>
      <c r="F61" s="3"/>
      <c r="G61" s="3">
        <v>0</v>
      </c>
      <c r="H61" s="3"/>
      <c r="I61" s="3">
        <v>4260104</v>
      </c>
      <c r="J61" s="3"/>
      <c r="K61" s="3">
        <v>0</v>
      </c>
      <c r="L61" s="3"/>
      <c r="M61" s="3">
        <v>0</v>
      </c>
      <c r="N61" s="3"/>
      <c r="O61" s="3">
        <v>320012</v>
      </c>
      <c r="P61" s="3"/>
      <c r="Q61" s="3">
        <v>274001</v>
      </c>
      <c r="R61" s="3"/>
      <c r="S61" s="3">
        <v>127935</v>
      </c>
      <c r="T61" s="3"/>
      <c r="U61" s="3">
        <v>377223</v>
      </c>
      <c r="V61" s="3"/>
      <c r="W61" s="3">
        <v>321401</v>
      </c>
      <c r="X61" s="3"/>
      <c r="Y61" s="3">
        <v>28380</v>
      </c>
      <c r="Z61" s="3"/>
      <c r="AA61" s="3">
        <v>595426</v>
      </c>
      <c r="AB61" s="3" t="s">
        <v>254</v>
      </c>
      <c r="AD61" s="13" t="s">
        <v>202</v>
      </c>
      <c r="AF61" s="3">
        <v>1421</v>
      </c>
      <c r="AG61" s="3"/>
      <c r="AH61" s="3">
        <v>311124</v>
      </c>
      <c r="AI61" s="3"/>
      <c r="AJ61" s="3"/>
      <c r="AK61" s="3"/>
      <c r="AL61" s="3">
        <v>0</v>
      </c>
      <c r="AM61" s="3"/>
      <c r="AN61" s="3">
        <v>0</v>
      </c>
      <c r="AO61" s="3"/>
      <c r="AP61" s="3">
        <v>50821</v>
      </c>
      <c r="AQ61" s="3"/>
      <c r="AR61" s="3">
        <v>0</v>
      </c>
      <c r="AS61" s="3"/>
      <c r="AT61" s="3"/>
      <c r="AU61" s="3"/>
      <c r="AV61" s="3">
        <v>0</v>
      </c>
      <c r="AW61" s="3"/>
      <c r="AX61" s="3">
        <v>0</v>
      </c>
      <c r="AY61" s="3"/>
      <c r="AZ61" s="3">
        <f t="shared" si="2"/>
        <v>6667848</v>
      </c>
      <c r="BA61" s="3"/>
      <c r="BB61" s="3">
        <v>360040</v>
      </c>
      <c r="BC61" s="3"/>
      <c r="BD61" s="3"/>
      <c r="BE61" s="3"/>
      <c r="BF61" s="3"/>
      <c r="BG61" s="3"/>
      <c r="BH61" s="3">
        <v>0</v>
      </c>
      <c r="BI61" s="3" t="s">
        <v>254</v>
      </c>
      <c r="BK61" s="13" t="s">
        <v>202</v>
      </c>
      <c r="BL61" s="3"/>
      <c r="BM61" s="3">
        <f t="shared" si="3"/>
        <v>7027888</v>
      </c>
      <c r="BN61" s="3"/>
      <c r="BO61" s="3">
        <f>GenRev!AU61-BM61</f>
        <v>720234</v>
      </c>
      <c r="BP61" s="3"/>
      <c r="BQ61" s="3">
        <v>2914358</v>
      </c>
      <c r="BR61" s="3"/>
      <c r="BS61" s="3">
        <v>0</v>
      </c>
      <c r="BT61" s="3"/>
      <c r="BU61" s="3">
        <f t="shared" si="1"/>
        <v>3634592</v>
      </c>
      <c r="BV61" s="3"/>
      <c r="BW61" s="14">
        <f>+BU61-GenBS!AC61</f>
        <v>0</v>
      </c>
    </row>
    <row r="62" spans="1:75" s="13" customFormat="1">
      <c r="A62" s="3" t="s">
        <v>360</v>
      </c>
      <c r="C62" s="13" t="s">
        <v>203</v>
      </c>
      <c r="E62" s="3">
        <v>0</v>
      </c>
      <c r="F62" s="3"/>
      <c r="G62" s="3">
        <v>163784</v>
      </c>
      <c r="H62" s="3"/>
      <c r="I62" s="3">
        <v>6731190</v>
      </c>
      <c r="J62" s="3"/>
      <c r="K62" s="3">
        <v>0</v>
      </c>
      <c r="L62" s="3"/>
      <c r="M62" s="3">
        <v>0</v>
      </c>
      <c r="N62" s="3"/>
      <c r="O62" s="3">
        <v>821850</v>
      </c>
      <c r="P62" s="3"/>
      <c r="Q62" s="3">
        <v>292302</v>
      </c>
      <c r="R62" s="3"/>
      <c r="S62" s="3">
        <v>22965</v>
      </c>
      <c r="T62" s="3"/>
      <c r="U62" s="3">
        <v>1099727</v>
      </c>
      <c r="V62" s="3"/>
      <c r="W62" s="3">
        <v>522448</v>
      </c>
      <c r="X62" s="3"/>
      <c r="Y62" s="3">
        <v>206</v>
      </c>
      <c r="Z62" s="3"/>
      <c r="AA62" s="3">
        <v>1144280</v>
      </c>
      <c r="AB62" s="3" t="s">
        <v>360</v>
      </c>
      <c r="AD62" s="13" t="s">
        <v>203</v>
      </c>
      <c r="AF62" s="3">
        <v>100669</v>
      </c>
      <c r="AG62" s="3"/>
      <c r="AH62" s="3">
        <v>704828</v>
      </c>
      <c r="AI62" s="3"/>
      <c r="AJ62" s="3"/>
      <c r="AK62" s="3"/>
      <c r="AL62" s="3">
        <v>0</v>
      </c>
      <c r="AM62" s="3"/>
      <c r="AN62" s="3">
        <v>8424</v>
      </c>
      <c r="AO62" s="3"/>
      <c r="AP62" s="3">
        <v>86509</v>
      </c>
      <c r="AQ62" s="3"/>
      <c r="AR62" s="3">
        <v>243809</v>
      </c>
      <c r="AS62" s="3"/>
      <c r="AT62" s="3"/>
      <c r="AU62" s="3"/>
      <c r="AV62" s="3">
        <v>110048</v>
      </c>
      <c r="AW62" s="3"/>
      <c r="AX62" s="3">
        <v>46152</v>
      </c>
      <c r="AY62" s="3"/>
      <c r="AZ62" s="3">
        <f t="shared" si="2"/>
        <v>12099191</v>
      </c>
      <c r="BA62" s="3"/>
      <c r="BB62" s="3">
        <v>8396666</v>
      </c>
      <c r="BC62" s="3"/>
      <c r="BD62" s="3"/>
      <c r="BE62" s="3"/>
      <c r="BF62" s="3"/>
      <c r="BG62" s="3"/>
      <c r="BH62" s="3">
        <v>0</v>
      </c>
      <c r="BI62" s="3" t="s">
        <v>360</v>
      </c>
      <c r="BK62" s="13" t="s">
        <v>203</v>
      </c>
      <c r="BL62" s="3"/>
      <c r="BM62" s="3">
        <f t="shared" si="3"/>
        <v>20495857</v>
      </c>
      <c r="BN62" s="3"/>
      <c r="BO62" s="3">
        <f>GenRev!AU62-BM62</f>
        <v>-5741562</v>
      </c>
      <c r="BP62" s="3"/>
      <c r="BQ62" s="3">
        <v>11890242</v>
      </c>
      <c r="BR62" s="3"/>
      <c r="BS62" s="3">
        <v>0</v>
      </c>
      <c r="BT62" s="3"/>
      <c r="BU62" s="3">
        <f t="shared" si="1"/>
        <v>6148680</v>
      </c>
      <c r="BV62" s="3"/>
      <c r="BW62" s="14">
        <f>+BU62-GenBS!AC62</f>
        <v>0</v>
      </c>
    </row>
    <row r="63" spans="1:75" s="13" customFormat="1">
      <c r="A63" s="3" t="s">
        <v>267</v>
      </c>
      <c r="C63" s="13" t="s">
        <v>204</v>
      </c>
      <c r="E63" s="3">
        <v>872809</v>
      </c>
      <c r="F63" s="3"/>
      <c r="G63" s="3">
        <v>0</v>
      </c>
      <c r="H63" s="3"/>
      <c r="I63" s="3">
        <v>2127477</v>
      </c>
      <c r="J63" s="3"/>
      <c r="K63" s="3">
        <v>0</v>
      </c>
      <c r="L63" s="3"/>
      <c r="M63" s="3">
        <v>0</v>
      </c>
      <c r="N63" s="3"/>
      <c r="O63" s="3">
        <v>191647</v>
      </c>
      <c r="P63" s="3"/>
      <c r="Q63" s="3">
        <v>297026</v>
      </c>
      <c r="R63" s="3"/>
      <c r="S63" s="3">
        <v>16483</v>
      </c>
      <c r="T63" s="3"/>
      <c r="U63" s="3">
        <v>490587</v>
      </c>
      <c r="V63" s="3"/>
      <c r="W63" s="3">
        <v>329798</v>
      </c>
      <c r="X63" s="3"/>
      <c r="Y63" s="3">
        <v>29132</v>
      </c>
      <c r="Z63" s="3"/>
      <c r="AA63" s="3">
        <v>649743</v>
      </c>
      <c r="AB63" s="3" t="s">
        <v>267</v>
      </c>
      <c r="AD63" s="13" t="s">
        <v>204</v>
      </c>
      <c r="AF63" s="3">
        <v>8563</v>
      </c>
      <c r="AG63" s="3"/>
      <c r="AH63" s="3">
        <v>282501</v>
      </c>
      <c r="AI63" s="3"/>
      <c r="AJ63" s="3"/>
      <c r="AK63" s="3"/>
      <c r="AL63" s="3">
        <v>0</v>
      </c>
      <c r="AM63" s="3"/>
      <c r="AN63" s="3">
        <v>0</v>
      </c>
      <c r="AO63" s="3"/>
      <c r="AP63" s="3">
        <v>4875</v>
      </c>
      <c r="AQ63" s="3"/>
      <c r="AR63" s="3">
        <v>2700</v>
      </c>
      <c r="AS63" s="3"/>
      <c r="AT63" s="3"/>
      <c r="AU63" s="3"/>
      <c r="AV63" s="3">
        <v>111335</v>
      </c>
      <c r="AW63" s="3"/>
      <c r="AX63" s="3">
        <v>55524</v>
      </c>
      <c r="AY63" s="3"/>
      <c r="AZ63" s="3">
        <f t="shared" si="2"/>
        <v>5470200</v>
      </c>
      <c r="BA63" s="3"/>
      <c r="BB63" s="3">
        <v>80000</v>
      </c>
      <c r="BC63" s="3"/>
      <c r="BD63" s="3"/>
      <c r="BE63" s="3"/>
      <c r="BF63" s="3"/>
      <c r="BG63" s="3"/>
      <c r="BH63" s="3">
        <v>0</v>
      </c>
      <c r="BI63" s="3" t="s">
        <v>267</v>
      </c>
      <c r="BK63" s="13" t="s">
        <v>204</v>
      </c>
      <c r="BL63" s="3"/>
      <c r="BM63" s="3">
        <f t="shared" si="3"/>
        <v>5550200</v>
      </c>
      <c r="BN63" s="3"/>
      <c r="BO63" s="3">
        <f>GenRev!AU63-BM63</f>
        <v>152910</v>
      </c>
      <c r="BP63" s="3"/>
      <c r="BQ63" s="3">
        <v>3263263</v>
      </c>
      <c r="BR63" s="3"/>
      <c r="BS63" s="3">
        <v>0</v>
      </c>
      <c r="BT63" s="3"/>
      <c r="BU63" s="3">
        <f t="shared" si="1"/>
        <v>3416173</v>
      </c>
      <c r="BV63" s="3"/>
      <c r="BW63" s="14">
        <f>+BU63-GenBS!AC63</f>
        <v>0</v>
      </c>
    </row>
    <row r="64" spans="1:75" s="13" customFormat="1">
      <c r="A64" s="3" t="s">
        <v>361</v>
      </c>
      <c r="C64" s="13" t="s">
        <v>205</v>
      </c>
      <c r="E64" s="3">
        <v>1789560</v>
      </c>
      <c r="F64" s="3"/>
      <c r="G64" s="3">
        <v>7924</v>
      </c>
      <c r="H64" s="3"/>
      <c r="I64" s="3">
        <v>5181377</v>
      </c>
      <c r="J64" s="3"/>
      <c r="K64" s="3">
        <v>25753</v>
      </c>
      <c r="L64" s="3"/>
      <c r="M64" s="3">
        <v>0</v>
      </c>
      <c r="N64" s="3"/>
      <c r="O64" s="3">
        <v>474188</v>
      </c>
      <c r="P64" s="3"/>
      <c r="Q64" s="3">
        <v>1432105</v>
      </c>
      <c r="R64" s="3"/>
      <c r="S64" s="3">
        <v>60683</v>
      </c>
      <c r="T64" s="3"/>
      <c r="U64" s="3">
        <v>828951</v>
      </c>
      <c r="V64" s="3"/>
      <c r="W64" s="3">
        <v>437138</v>
      </c>
      <c r="X64" s="3"/>
      <c r="Y64" s="3">
        <v>0</v>
      </c>
      <c r="Z64" s="3"/>
      <c r="AA64" s="3">
        <v>793309</v>
      </c>
      <c r="AB64" s="3" t="s">
        <v>361</v>
      </c>
      <c r="AD64" s="13" t="s">
        <v>205</v>
      </c>
      <c r="AF64" s="3">
        <v>2853</v>
      </c>
      <c r="AG64" s="3"/>
      <c r="AH64" s="3">
        <v>0</v>
      </c>
      <c r="AI64" s="3"/>
      <c r="AJ64" s="3"/>
      <c r="AK64" s="3"/>
      <c r="AL64" s="3">
        <v>0</v>
      </c>
      <c r="AM64" s="3"/>
      <c r="AN64" s="3">
        <v>2202</v>
      </c>
      <c r="AO64" s="3"/>
      <c r="AP64" s="3">
        <v>0</v>
      </c>
      <c r="AQ64" s="3"/>
      <c r="AR64" s="3">
        <v>0</v>
      </c>
      <c r="AS64" s="3"/>
      <c r="AT64" s="3"/>
      <c r="AU64" s="3"/>
      <c r="AV64" s="3">
        <v>0</v>
      </c>
      <c r="AW64" s="3"/>
      <c r="AX64" s="3">
        <v>0</v>
      </c>
      <c r="AY64" s="3"/>
      <c r="AZ64" s="3">
        <f t="shared" si="2"/>
        <v>11036043</v>
      </c>
      <c r="BA64" s="3"/>
      <c r="BB64" s="3">
        <v>164757</v>
      </c>
      <c r="BC64" s="3"/>
      <c r="BD64" s="3"/>
      <c r="BE64" s="3"/>
      <c r="BF64" s="3"/>
      <c r="BG64" s="3"/>
      <c r="BH64" s="3">
        <v>0</v>
      </c>
      <c r="BI64" s="3" t="s">
        <v>361</v>
      </c>
      <c r="BK64" s="13" t="s">
        <v>205</v>
      </c>
      <c r="BL64" s="3"/>
      <c r="BM64" s="3">
        <f t="shared" si="3"/>
        <v>11200800</v>
      </c>
      <c r="BN64" s="3"/>
      <c r="BO64" s="3">
        <f>GenRev!AU64-BM64</f>
        <v>940079</v>
      </c>
      <c r="BP64" s="3"/>
      <c r="BQ64" s="3">
        <v>5685977</v>
      </c>
      <c r="BR64" s="3"/>
      <c r="BS64" s="3">
        <v>0</v>
      </c>
      <c r="BT64" s="3"/>
      <c r="BU64" s="3">
        <f t="shared" si="1"/>
        <v>6626056</v>
      </c>
      <c r="BV64" s="3"/>
      <c r="BW64" s="14">
        <f>+BU64-GenBS!AC64</f>
        <v>0</v>
      </c>
    </row>
    <row r="65" spans="1:75" s="13" customFormat="1">
      <c r="A65" s="3"/>
      <c r="E65" s="3"/>
      <c r="F65" s="3"/>
      <c r="G65" s="3"/>
      <c r="H65" s="3"/>
      <c r="I65" s="3"/>
      <c r="J65" s="3"/>
      <c r="K65" s="2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14"/>
    </row>
    <row r="66" spans="1:75" s="13" customFormat="1">
      <c r="A66" s="72"/>
      <c r="B66" s="72"/>
      <c r="C66" s="72"/>
      <c r="D66" s="72"/>
      <c r="E66" s="72"/>
      <c r="F66" s="72"/>
      <c r="G66" s="72"/>
      <c r="H66" s="72"/>
      <c r="I66" s="72"/>
      <c r="J66" s="59"/>
      <c r="K66" s="23"/>
      <c r="AA66" s="30" t="s">
        <v>257</v>
      </c>
      <c r="AF66" s="3"/>
      <c r="AG66" s="3"/>
      <c r="AH66" s="3"/>
      <c r="AI66" s="3"/>
      <c r="AJ66" s="3"/>
      <c r="AK66" s="3"/>
      <c r="AL66" s="14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BA66" s="14"/>
      <c r="BB66" s="3"/>
      <c r="BC66" s="3"/>
      <c r="BD66" s="3"/>
      <c r="BE66" s="3"/>
      <c r="BF66" s="3"/>
      <c r="BG66" s="3"/>
      <c r="BH66" s="14" t="s">
        <v>257</v>
      </c>
      <c r="BM66" s="3"/>
      <c r="BN66" s="3"/>
      <c r="BO66" s="3"/>
      <c r="BP66" s="3"/>
      <c r="BQ66" s="3"/>
      <c r="BR66" s="3"/>
      <c r="BS66" s="3"/>
      <c r="BT66" s="3"/>
      <c r="BU66" s="14" t="s">
        <v>257</v>
      </c>
    </row>
    <row r="67" spans="1:75" s="13" customFormat="1">
      <c r="A67" s="31" t="s">
        <v>256</v>
      </c>
      <c r="K67" s="23"/>
      <c r="AB67" s="31" t="s">
        <v>256</v>
      </c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1" t="s">
        <v>256</v>
      </c>
      <c r="BM67" s="3"/>
      <c r="BN67" s="3"/>
      <c r="BO67" s="3"/>
      <c r="BP67" s="3"/>
      <c r="BQ67" s="3"/>
      <c r="BR67" s="3"/>
      <c r="BS67" s="3"/>
      <c r="BT67" s="3"/>
      <c r="BU67" s="3"/>
    </row>
    <row r="68" spans="1:75" s="13" customFormat="1">
      <c r="A68" s="31"/>
      <c r="K68" s="23"/>
      <c r="AB68" s="31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1"/>
      <c r="BM68" s="3"/>
      <c r="BN68" s="3"/>
      <c r="BO68" s="3"/>
      <c r="BP68" s="3"/>
      <c r="BQ68" s="3"/>
      <c r="BR68" s="3"/>
      <c r="BS68" s="3"/>
      <c r="BT68" s="3"/>
      <c r="BU68" s="3"/>
    </row>
    <row r="69" spans="1:75" s="17" customFormat="1" hidden="1">
      <c r="A69" s="3" t="s">
        <v>333</v>
      </c>
      <c r="B69" s="3"/>
      <c r="C69" s="3" t="s">
        <v>263</v>
      </c>
      <c r="E69" s="3">
        <v>0</v>
      </c>
      <c r="F69" s="3"/>
      <c r="G69" s="3">
        <v>0</v>
      </c>
      <c r="H69" s="3"/>
      <c r="I69" s="3">
        <v>0</v>
      </c>
      <c r="J69" s="3"/>
      <c r="K69" s="3">
        <v>0</v>
      </c>
      <c r="L69" s="3"/>
      <c r="M69" s="3">
        <v>0</v>
      </c>
      <c r="N69" s="3"/>
      <c r="O69" s="3">
        <v>0</v>
      </c>
      <c r="P69" s="3"/>
      <c r="Q69" s="3">
        <v>0</v>
      </c>
      <c r="R69" s="3"/>
      <c r="S69" s="3">
        <v>0</v>
      </c>
      <c r="T69" s="3"/>
      <c r="U69" s="3">
        <v>0</v>
      </c>
      <c r="V69" s="3"/>
      <c r="W69" s="3">
        <v>0</v>
      </c>
      <c r="X69" s="3"/>
      <c r="Y69" s="3">
        <v>0</v>
      </c>
      <c r="Z69" s="3"/>
      <c r="AA69" s="3">
        <v>0</v>
      </c>
      <c r="AB69" s="3" t="s">
        <v>333</v>
      </c>
      <c r="AD69" s="3" t="s">
        <v>263</v>
      </c>
      <c r="AF69" s="3">
        <v>0</v>
      </c>
      <c r="AG69" s="3"/>
      <c r="AH69" s="3">
        <v>0</v>
      </c>
      <c r="AI69" s="3"/>
      <c r="AJ69" s="3"/>
      <c r="AK69" s="3"/>
      <c r="AL69" s="3">
        <v>0</v>
      </c>
      <c r="AM69" s="3"/>
      <c r="AN69" s="3">
        <v>0</v>
      </c>
      <c r="AO69" s="3"/>
      <c r="AP69" s="3">
        <v>0</v>
      </c>
      <c r="AQ69" s="3"/>
      <c r="AR69" s="3">
        <v>0</v>
      </c>
      <c r="AS69" s="3"/>
      <c r="AT69" s="3"/>
      <c r="AU69" s="3"/>
      <c r="AV69" s="3">
        <v>0</v>
      </c>
      <c r="AW69" s="3"/>
      <c r="AX69" s="3">
        <v>0</v>
      </c>
      <c r="AY69" s="3"/>
      <c r="AZ69" s="3">
        <f>SUM(E69:AX69)</f>
        <v>0</v>
      </c>
      <c r="BA69" s="3"/>
      <c r="BB69" s="3">
        <v>0</v>
      </c>
      <c r="BC69" s="3"/>
      <c r="BD69" s="3"/>
      <c r="BE69" s="3"/>
      <c r="BF69" s="3"/>
      <c r="BG69" s="3"/>
      <c r="BH69" s="3">
        <v>0</v>
      </c>
      <c r="BI69" s="3" t="s">
        <v>333</v>
      </c>
      <c r="BK69" s="3" t="s">
        <v>263</v>
      </c>
      <c r="BM69" s="3">
        <f t="shared" ref="BM69:BM100" si="4">+BH69+BD69+BB69+AZ69</f>
        <v>0</v>
      </c>
      <c r="BN69" s="3"/>
      <c r="BO69" s="3">
        <f>GenRev!AU69-BM69</f>
        <v>0</v>
      </c>
      <c r="BP69" s="3"/>
      <c r="BQ69" s="3"/>
      <c r="BR69" s="3"/>
      <c r="BS69" s="3"/>
      <c r="BT69" s="3"/>
      <c r="BU69" s="3">
        <f>+BQ69+BO69+BS69</f>
        <v>0</v>
      </c>
      <c r="BW69" s="60">
        <f>+BU69-GenBS!AC69</f>
        <v>0</v>
      </c>
    </row>
    <row r="70" spans="1:75" s="17" customFormat="1" hidden="1">
      <c r="A70" s="3" t="s">
        <v>334</v>
      </c>
      <c r="B70" s="3"/>
      <c r="C70" s="3" t="s">
        <v>146</v>
      </c>
      <c r="E70" s="3">
        <v>0</v>
      </c>
      <c r="F70" s="3"/>
      <c r="G70" s="3">
        <v>0</v>
      </c>
      <c r="H70" s="3"/>
      <c r="I70" s="3">
        <v>0</v>
      </c>
      <c r="J70" s="3"/>
      <c r="K70" s="3">
        <v>0</v>
      </c>
      <c r="L70" s="3"/>
      <c r="M70" s="3">
        <v>0</v>
      </c>
      <c r="N70" s="3"/>
      <c r="O70" s="3">
        <v>0</v>
      </c>
      <c r="P70" s="3"/>
      <c r="Q70" s="3">
        <v>0</v>
      </c>
      <c r="R70" s="3"/>
      <c r="S70" s="3">
        <v>0</v>
      </c>
      <c r="T70" s="3"/>
      <c r="U70" s="3">
        <v>0</v>
      </c>
      <c r="V70" s="3"/>
      <c r="W70" s="3">
        <v>0</v>
      </c>
      <c r="X70" s="3"/>
      <c r="Y70" s="3">
        <v>0</v>
      </c>
      <c r="Z70" s="3"/>
      <c r="AA70" s="3">
        <v>0</v>
      </c>
      <c r="AB70" s="3" t="s">
        <v>334</v>
      </c>
      <c r="AC70" s="3"/>
      <c r="AD70" s="3" t="s">
        <v>146</v>
      </c>
      <c r="AE70" s="3"/>
      <c r="AF70" s="3">
        <v>0</v>
      </c>
      <c r="AG70" s="3"/>
      <c r="AH70" s="3">
        <v>0</v>
      </c>
      <c r="AI70" s="3"/>
      <c r="AJ70" s="3"/>
      <c r="AK70" s="3"/>
      <c r="AL70" s="3">
        <v>0</v>
      </c>
      <c r="AM70" s="3"/>
      <c r="AN70" s="3">
        <v>0</v>
      </c>
      <c r="AO70" s="3"/>
      <c r="AP70" s="3">
        <v>0</v>
      </c>
      <c r="AQ70" s="3"/>
      <c r="AR70" s="3">
        <v>0</v>
      </c>
      <c r="AS70" s="3"/>
      <c r="AT70" s="3"/>
      <c r="AU70" s="3"/>
      <c r="AV70" s="3">
        <v>0</v>
      </c>
      <c r="AW70" s="3"/>
      <c r="AX70" s="3">
        <v>0</v>
      </c>
      <c r="AY70" s="3"/>
      <c r="AZ70" s="3">
        <f t="shared" ref="AZ70:AZ130" si="5">SUM(E70:AX70)</f>
        <v>0</v>
      </c>
      <c r="BA70" s="3"/>
      <c r="BB70" s="3">
        <v>0</v>
      </c>
      <c r="BC70" s="3"/>
      <c r="BD70" s="3"/>
      <c r="BE70" s="3"/>
      <c r="BF70" s="3"/>
      <c r="BG70" s="3"/>
      <c r="BH70" s="3">
        <v>0</v>
      </c>
      <c r="BI70" s="3" t="s">
        <v>334</v>
      </c>
      <c r="BJ70" s="3"/>
      <c r="BK70" s="3" t="s">
        <v>146</v>
      </c>
      <c r="BL70" s="3"/>
      <c r="BM70" s="3">
        <f t="shared" si="4"/>
        <v>0</v>
      </c>
      <c r="BN70" s="3"/>
      <c r="BO70" s="3">
        <f>GenRev!AU70-BM70</f>
        <v>0</v>
      </c>
      <c r="BP70" s="3"/>
      <c r="BQ70" s="3"/>
      <c r="BR70" s="3"/>
      <c r="BS70" s="3"/>
      <c r="BT70" s="3"/>
      <c r="BU70" s="3">
        <f>+BQ70+BO70+BS70</f>
        <v>0</v>
      </c>
      <c r="BV70" s="3"/>
      <c r="BW70" s="14">
        <f>+BU70-GenBS!AC70</f>
        <v>0</v>
      </c>
    </row>
    <row r="71" spans="1:75" s="13" customFormat="1">
      <c r="A71" s="3" t="s">
        <v>150</v>
      </c>
      <c r="C71" s="13" t="s">
        <v>147</v>
      </c>
      <c r="E71" s="17">
        <v>159142</v>
      </c>
      <c r="F71" s="17"/>
      <c r="G71" s="17">
        <v>2189292</v>
      </c>
      <c r="H71" s="17"/>
      <c r="I71" s="17">
        <v>0</v>
      </c>
      <c r="J71" s="17"/>
      <c r="K71" s="50">
        <v>32736</v>
      </c>
      <c r="L71" s="17"/>
      <c r="M71" s="17">
        <v>0</v>
      </c>
      <c r="N71" s="17"/>
      <c r="O71" s="17">
        <v>823106</v>
      </c>
      <c r="P71" s="17"/>
      <c r="Q71" s="17">
        <v>536424</v>
      </c>
      <c r="R71" s="17"/>
      <c r="S71" s="17">
        <v>87058</v>
      </c>
      <c r="T71" s="17"/>
      <c r="U71" s="17">
        <v>306697</v>
      </c>
      <c r="V71" s="17"/>
      <c r="W71" s="17">
        <v>345727</v>
      </c>
      <c r="X71" s="17"/>
      <c r="Y71" s="17">
        <v>0</v>
      </c>
      <c r="Z71" s="17"/>
      <c r="AA71" s="17">
        <v>3564</v>
      </c>
      <c r="AB71" s="3" t="s">
        <v>150</v>
      </c>
      <c r="AC71" s="17"/>
      <c r="AD71" s="17" t="s">
        <v>147</v>
      </c>
      <c r="AE71" s="17"/>
      <c r="AF71" s="17">
        <v>0</v>
      </c>
      <c r="AG71" s="17"/>
      <c r="AH71" s="17">
        <v>7318</v>
      </c>
      <c r="AI71" s="17"/>
      <c r="AJ71" s="17"/>
      <c r="AK71" s="17"/>
      <c r="AL71" s="17">
        <v>0</v>
      </c>
      <c r="AM71" s="17"/>
      <c r="AN71" s="17">
        <v>0</v>
      </c>
      <c r="AO71" s="17"/>
      <c r="AP71" s="17">
        <v>0</v>
      </c>
      <c r="AQ71" s="17"/>
      <c r="AR71" s="17">
        <v>0</v>
      </c>
      <c r="AS71" s="17"/>
      <c r="AT71" s="17"/>
      <c r="AU71" s="17"/>
      <c r="AV71" s="17">
        <v>0</v>
      </c>
      <c r="AW71" s="17"/>
      <c r="AX71" s="17">
        <v>0</v>
      </c>
      <c r="AY71" s="17"/>
      <c r="AZ71" s="17">
        <f t="shared" si="5"/>
        <v>4491064</v>
      </c>
      <c r="BA71" s="17"/>
      <c r="BB71" s="17">
        <v>0</v>
      </c>
      <c r="BC71" s="17"/>
      <c r="BD71" s="17"/>
      <c r="BE71" s="17"/>
      <c r="BF71" s="17"/>
      <c r="BG71" s="17"/>
      <c r="BH71" s="17">
        <v>0</v>
      </c>
      <c r="BI71" s="3" t="s">
        <v>150</v>
      </c>
      <c r="BJ71" s="17"/>
      <c r="BK71" s="17" t="s">
        <v>147</v>
      </c>
      <c r="BL71" s="17"/>
      <c r="BM71" s="17">
        <f t="shared" si="4"/>
        <v>4491064</v>
      </c>
      <c r="BN71" s="17"/>
      <c r="BO71" s="17">
        <f>GenRev!AU71-BM71</f>
        <v>155543</v>
      </c>
      <c r="BP71" s="17"/>
      <c r="BQ71" s="17">
        <v>490076</v>
      </c>
      <c r="BR71" s="17"/>
      <c r="BS71" s="17">
        <v>0</v>
      </c>
      <c r="BT71" s="17"/>
      <c r="BU71" s="17">
        <f>+BQ71+BO71+BS71</f>
        <v>645619</v>
      </c>
      <c r="BV71" s="17"/>
      <c r="BW71" s="60">
        <f>+BU71-GenBS!AC71</f>
        <v>0</v>
      </c>
    </row>
    <row r="72" spans="1:75" s="13" customFormat="1" hidden="1">
      <c r="A72" s="3" t="s">
        <v>335</v>
      </c>
      <c r="B72" s="3"/>
      <c r="C72" s="3" t="s">
        <v>264</v>
      </c>
      <c r="E72" s="3">
        <v>0</v>
      </c>
      <c r="F72" s="3"/>
      <c r="G72" s="3">
        <v>0</v>
      </c>
      <c r="H72" s="3"/>
      <c r="I72" s="3">
        <v>0</v>
      </c>
      <c r="J72" s="3"/>
      <c r="K72" s="3">
        <v>0</v>
      </c>
      <c r="L72" s="3"/>
      <c r="M72" s="3">
        <v>0</v>
      </c>
      <c r="N72" s="3"/>
      <c r="O72" s="3">
        <v>0</v>
      </c>
      <c r="P72" s="3"/>
      <c r="Q72" s="3">
        <v>0</v>
      </c>
      <c r="R72" s="3"/>
      <c r="S72" s="3">
        <v>0</v>
      </c>
      <c r="T72" s="3"/>
      <c r="U72" s="3">
        <v>0</v>
      </c>
      <c r="V72" s="3"/>
      <c r="W72" s="3">
        <v>0</v>
      </c>
      <c r="X72" s="3"/>
      <c r="Y72" s="3">
        <v>0</v>
      </c>
      <c r="Z72" s="3"/>
      <c r="AA72" s="3">
        <v>0</v>
      </c>
      <c r="AB72" s="3" t="s">
        <v>335</v>
      </c>
      <c r="AC72" s="3"/>
      <c r="AD72" s="3" t="s">
        <v>264</v>
      </c>
      <c r="AE72" s="3"/>
      <c r="AF72" s="3">
        <v>0</v>
      </c>
      <c r="AG72" s="3"/>
      <c r="AH72" s="3">
        <v>0</v>
      </c>
      <c r="AI72" s="3"/>
      <c r="AJ72" s="3"/>
      <c r="AK72" s="3"/>
      <c r="AL72" s="3">
        <v>0</v>
      </c>
      <c r="AM72" s="3"/>
      <c r="AN72" s="3">
        <v>0</v>
      </c>
      <c r="AO72" s="3"/>
      <c r="AP72" s="3">
        <v>0</v>
      </c>
      <c r="AQ72" s="3"/>
      <c r="AR72" s="3">
        <v>0</v>
      </c>
      <c r="AS72" s="3"/>
      <c r="AT72" s="3"/>
      <c r="AU72" s="3"/>
      <c r="AV72" s="3">
        <v>0</v>
      </c>
      <c r="AW72" s="3"/>
      <c r="AX72" s="3">
        <v>0</v>
      </c>
      <c r="AY72" s="3"/>
      <c r="AZ72" s="3">
        <f t="shared" si="5"/>
        <v>0</v>
      </c>
      <c r="BA72" s="3"/>
      <c r="BB72" s="3">
        <v>0</v>
      </c>
      <c r="BC72" s="3"/>
      <c r="BD72" s="3"/>
      <c r="BE72" s="3"/>
      <c r="BF72" s="3"/>
      <c r="BG72" s="3"/>
      <c r="BH72" s="3">
        <v>0</v>
      </c>
      <c r="BI72" s="3" t="s">
        <v>335</v>
      </c>
      <c r="BJ72" s="3"/>
      <c r="BK72" s="3" t="s">
        <v>264</v>
      </c>
      <c r="BL72" s="3"/>
      <c r="BM72" s="3">
        <f t="shared" si="4"/>
        <v>0</v>
      </c>
      <c r="BN72" s="3"/>
      <c r="BO72" s="3">
        <f>GenRev!AU72-BM72</f>
        <v>0</v>
      </c>
      <c r="BP72" s="3"/>
      <c r="BQ72" s="3"/>
      <c r="BR72" s="3"/>
      <c r="BS72" s="3"/>
      <c r="BT72" s="3"/>
      <c r="BU72" s="3">
        <f>+BQ72+BO72+BS72</f>
        <v>0</v>
      </c>
      <c r="BV72" s="3"/>
      <c r="BW72" s="14">
        <f>+BU72-GenBS!AC72</f>
        <v>0</v>
      </c>
    </row>
    <row r="73" spans="1:75" s="13" customFormat="1">
      <c r="A73" s="13" t="s">
        <v>291</v>
      </c>
      <c r="C73" s="13" t="s">
        <v>152</v>
      </c>
      <c r="E73" s="3">
        <v>550165</v>
      </c>
      <c r="F73" s="3"/>
      <c r="G73" s="3">
        <v>1715834</v>
      </c>
      <c r="H73" s="3"/>
      <c r="I73" s="3">
        <v>0</v>
      </c>
      <c r="J73" s="3"/>
      <c r="K73" s="23">
        <v>0</v>
      </c>
      <c r="L73" s="3"/>
      <c r="M73" s="3">
        <v>0</v>
      </c>
      <c r="N73" s="3"/>
      <c r="O73" s="3">
        <v>1222086</v>
      </c>
      <c r="P73" s="3"/>
      <c r="Q73" s="3">
        <v>477784</v>
      </c>
      <c r="R73" s="3"/>
      <c r="S73" s="3">
        <v>29971</v>
      </c>
      <c r="T73" s="3"/>
      <c r="U73" s="3">
        <v>228593</v>
      </c>
      <c r="V73" s="3"/>
      <c r="W73" s="3">
        <v>139298</v>
      </c>
      <c r="X73" s="3"/>
      <c r="Y73" s="3">
        <v>0</v>
      </c>
      <c r="Z73" s="3"/>
      <c r="AA73" s="3">
        <v>62456</v>
      </c>
      <c r="AB73" s="13" t="s">
        <v>291</v>
      </c>
      <c r="AD73" s="13" t="s">
        <v>152</v>
      </c>
      <c r="AF73" s="3">
        <v>77</v>
      </c>
      <c r="AG73" s="3"/>
      <c r="AH73" s="3">
        <v>147627</v>
      </c>
      <c r="AI73" s="3"/>
      <c r="AJ73" s="3"/>
      <c r="AK73" s="3"/>
      <c r="AL73" s="3">
        <v>0</v>
      </c>
      <c r="AM73" s="3"/>
      <c r="AN73" s="3">
        <v>0</v>
      </c>
      <c r="AO73" s="3"/>
      <c r="AP73" s="3">
        <v>0</v>
      </c>
      <c r="AQ73" s="3"/>
      <c r="AR73" s="3">
        <v>0</v>
      </c>
      <c r="AS73" s="3"/>
      <c r="AT73" s="3"/>
      <c r="AU73" s="3"/>
      <c r="AV73" s="3">
        <v>0</v>
      </c>
      <c r="AW73" s="3"/>
      <c r="AX73" s="3">
        <v>0</v>
      </c>
      <c r="AY73" s="3"/>
      <c r="AZ73" s="3">
        <f t="shared" si="5"/>
        <v>4573891</v>
      </c>
      <c r="BA73" s="3"/>
      <c r="BB73" s="3">
        <v>0</v>
      </c>
      <c r="BC73" s="3"/>
      <c r="BD73" s="3"/>
      <c r="BE73" s="3"/>
      <c r="BF73" s="3"/>
      <c r="BG73" s="3"/>
      <c r="BH73" s="3">
        <v>0</v>
      </c>
      <c r="BI73" s="13" t="s">
        <v>291</v>
      </c>
      <c r="BK73" s="13" t="s">
        <v>152</v>
      </c>
      <c r="BL73" s="3"/>
      <c r="BM73" s="3">
        <f t="shared" si="4"/>
        <v>4573891</v>
      </c>
      <c r="BN73" s="3"/>
      <c r="BO73" s="3">
        <f>GenRev!AU73-BM73</f>
        <v>-162868</v>
      </c>
      <c r="BP73" s="3"/>
      <c r="BQ73" s="3">
        <v>1782039</v>
      </c>
      <c r="BR73" s="3"/>
      <c r="BS73" s="3">
        <v>0</v>
      </c>
      <c r="BT73" s="3"/>
      <c r="BU73" s="3">
        <f>+BQ73+BO73+BS73</f>
        <v>1619171</v>
      </c>
      <c r="BV73" s="3"/>
      <c r="BW73" s="14">
        <f>+BU73-GenBS!AC73</f>
        <v>0</v>
      </c>
    </row>
    <row r="74" spans="1:75" s="13" customFormat="1">
      <c r="A74" s="13" t="s">
        <v>292</v>
      </c>
      <c r="C74" s="13" t="s">
        <v>149</v>
      </c>
      <c r="E74" s="3">
        <v>465053</v>
      </c>
      <c r="F74" s="3"/>
      <c r="G74" s="3">
        <v>1511961</v>
      </c>
      <c r="H74" s="3"/>
      <c r="I74" s="3">
        <v>0</v>
      </c>
      <c r="J74" s="3"/>
      <c r="K74" s="23">
        <v>0</v>
      </c>
      <c r="L74" s="3"/>
      <c r="M74" s="3">
        <v>0</v>
      </c>
      <c r="N74" s="3"/>
      <c r="O74" s="3">
        <v>1199062</v>
      </c>
      <c r="P74" s="3"/>
      <c r="Q74" s="3">
        <v>1258124</v>
      </c>
      <c r="R74" s="3"/>
      <c r="S74" s="3">
        <v>22198</v>
      </c>
      <c r="T74" s="3"/>
      <c r="U74" s="3">
        <v>1554712</v>
      </c>
      <c r="V74" s="3"/>
      <c r="W74" s="3">
        <v>292013</v>
      </c>
      <c r="X74" s="3"/>
      <c r="Y74" s="3">
        <v>0</v>
      </c>
      <c r="Z74" s="3"/>
      <c r="AA74" s="3">
        <v>530119</v>
      </c>
      <c r="AB74" s="13" t="s">
        <v>292</v>
      </c>
      <c r="AD74" s="13" t="s">
        <v>149</v>
      </c>
      <c r="AF74" s="3">
        <v>197199</v>
      </c>
      <c r="AG74" s="3"/>
      <c r="AH74" s="3">
        <v>2084318</v>
      </c>
      <c r="AI74" s="3"/>
      <c r="AJ74" s="3"/>
      <c r="AK74" s="3"/>
      <c r="AL74" s="3">
        <v>0</v>
      </c>
      <c r="AM74" s="3"/>
      <c r="AN74" s="3">
        <v>0</v>
      </c>
      <c r="AO74" s="3"/>
      <c r="AP74" s="3">
        <v>0</v>
      </c>
      <c r="AQ74" s="3"/>
      <c r="AR74" s="3">
        <v>0</v>
      </c>
      <c r="AS74" s="3"/>
      <c r="AT74" s="3"/>
      <c r="AU74" s="3"/>
      <c r="AV74" s="3">
        <v>84000</v>
      </c>
      <c r="AW74" s="3"/>
      <c r="AX74" s="3">
        <v>120628</v>
      </c>
      <c r="AY74" s="3"/>
      <c r="AZ74" s="3">
        <f t="shared" si="5"/>
        <v>9319387</v>
      </c>
      <c r="BA74" s="3"/>
      <c r="BB74" s="3">
        <v>0</v>
      </c>
      <c r="BC74" s="3"/>
      <c r="BD74" s="3"/>
      <c r="BE74" s="3"/>
      <c r="BF74" s="3"/>
      <c r="BG74" s="3"/>
      <c r="BH74" s="3">
        <v>0</v>
      </c>
      <c r="BI74" s="13" t="s">
        <v>292</v>
      </c>
      <c r="BK74" s="13" t="s">
        <v>149</v>
      </c>
      <c r="BL74" s="3"/>
      <c r="BM74" s="3">
        <f t="shared" si="4"/>
        <v>9319387</v>
      </c>
      <c r="BN74" s="3"/>
      <c r="BO74" s="3">
        <f>GenRev!AU74-BM74</f>
        <v>409431</v>
      </c>
      <c r="BP74" s="3"/>
      <c r="BQ74" s="3">
        <v>557598</v>
      </c>
      <c r="BR74" s="3"/>
      <c r="BS74" s="3">
        <v>0</v>
      </c>
      <c r="BT74" s="3"/>
      <c r="BU74" s="3">
        <f t="shared" ref="BU74:BU130" si="6">+BQ74+BO74+BS74</f>
        <v>967029</v>
      </c>
      <c r="BV74" s="3"/>
      <c r="BW74" s="14">
        <f>+BU74-GenBS!AC74</f>
        <v>0</v>
      </c>
    </row>
    <row r="75" spans="1:75" s="13" customFormat="1">
      <c r="A75" s="13" t="s">
        <v>293</v>
      </c>
      <c r="C75" s="13" t="s">
        <v>154</v>
      </c>
      <c r="E75" s="3">
        <v>3105</v>
      </c>
      <c r="F75" s="3"/>
      <c r="G75" s="3">
        <v>1301947</v>
      </c>
      <c r="H75" s="3"/>
      <c r="I75" s="3">
        <v>0</v>
      </c>
      <c r="J75" s="3"/>
      <c r="K75" s="3">
        <v>0</v>
      </c>
      <c r="L75" s="3"/>
      <c r="M75" s="3">
        <v>62366</v>
      </c>
      <c r="N75" s="3"/>
      <c r="O75" s="3">
        <v>2284719</v>
      </c>
      <c r="P75" s="3"/>
      <c r="Q75" s="3">
        <v>1659298</v>
      </c>
      <c r="R75" s="3"/>
      <c r="S75" s="3">
        <v>17923</v>
      </c>
      <c r="T75" s="3"/>
      <c r="U75" s="3">
        <v>648846</v>
      </c>
      <c r="V75" s="3"/>
      <c r="W75" s="3">
        <v>206192</v>
      </c>
      <c r="X75" s="3"/>
      <c r="Y75" s="3">
        <v>8740</v>
      </c>
      <c r="Z75" s="3"/>
      <c r="AA75" s="3">
        <v>48417</v>
      </c>
      <c r="AB75" s="13" t="s">
        <v>293</v>
      </c>
      <c r="AD75" s="13" t="s">
        <v>154</v>
      </c>
      <c r="AF75" s="3">
        <v>0</v>
      </c>
      <c r="AG75" s="3"/>
      <c r="AH75" s="3">
        <v>36797</v>
      </c>
      <c r="AI75" s="3"/>
      <c r="AJ75" s="3"/>
      <c r="AK75" s="3"/>
      <c r="AL75" s="3">
        <v>0</v>
      </c>
      <c r="AM75" s="3"/>
      <c r="AN75" s="3">
        <v>0</v>
      </c>
      <c r="AO75" s="3"/>
      <c r="AP75" s="3">
        <v>0</v>
      </c>
      <c r="AQ75" s="3"/>
      <c r="AR75" s="3">
        <v>0</v>
      </c>
      <c r="AS75" s="3"/>
      <c r="AT75" s="3"/>
      <c r="AU75" s="3"/>
      <c r="AV75" s="3">
        <v>85599</v>
      </c>
      <c r="AW75" s="3"/>
      <c r="AX75" s="3">
        <v>0</v>
      </c>
      <c r="AY75" s="3"/>
      <c r="AZ75" s="3">
        <f t="shared" si="5"/>
        <v>6363949</v>
      </c>
      <c r="BA75" s="3"/>
      <c r="BB75" s="3">
        <v>0</v>
      </c>
      <c r="BC75" s="3"/>
      <c r="BD75" s="3"/>
      <c r="BE75" s="3"/>
      <c r="BF75" s="3"/>
      <c r="BG75" s="3"/>
      <c r="BH75" s="3">
        <v>0</v>
      </c>
      <c r="BI75" s="13" t="s">
        <v>293</v>
      </c>
      <c r="BK75" s="13" t="s">
        <v>154</v>
      </c>
      <c r="BL75" s="3"/>
      <c r="BM75" s="3">
        <f t="shared" si="4"/>
        <v>6363949</v>
      </c>
      <c r="BN75" s="3"/>
      <c r="BO75" s="3">
        <f>GenRev!AU75-BM75</f>
        <v>219694</v>
      </c>
      <c r="BP75" s="3"/>
      <c r="BQ75" s="3">
        <v>1623772</v>
      </c>
      <c r="BR75" s="3"/>
      <c r="BS75" s="3">
        <v>0</v>
      </c>
      <c r="BT75" s="3"/>
      <c r="BU75" s="3">
        <f t="shared" si="6"/>
        <v>1843466</v>
      </c>
      <c r="BV75" s="3"/>
      <c r="BW75" s="14">
        <f>+BU75-GenBS!AC75</f>
        <v>0</v>
      </c>
    </row>
    <row r="76" spans="1:75" s="13" customFormat="1">
      <c r="A76" s="3" t="s">
        <v>155</v>
      </c>
      <c r="C76" s="13" t="s">
        <v>156</v>
      </c>
      <c r="D76" s="3"/>
      <c r="E76" s="3">
        <v>119130</v>
      </c>
      <c r="F76" s="3"/>
      <c r="G76" s="3">
        <v>6161187</v>
      </c>
      <c r="H76" s="3"/>
      <c r="I76" s="3">
        <v>0</v>
      </c>
      <c r="J76" s="3"/>
      <c r="K76" s="3">
        <v>4439</v>
      </c>
      <c r="L76" s="3"/>
      <c r="M76" s="3">
        <v>0</v>
      </c>
      <c r="N76" s="3"/>
      <c r="O76" s="3">
        <v>3963107</v>
      </c>
      <c r="P76" s="3"/>
      <c r="Q76" s="3">
        <v>5191518</v>
      </c>
      <c r="R76" s="3"/>
      <c r="S76" s="3">
        <v>280026</v>
      </c>
      <c r="T76" s="3"/>
      <c r="U76" s="3">
        <v>427182</v>
      </c>
      <c r="V76" s="3"/>
      <c r="W76" s="3">
        <v>251670</v>
      </c>
      <c r="X76" s="3"/>
      <c r="Y76" s="3">
        <v>0</v>
      </c>
      <c r="Z76" s="3"/>
      <c r="AA76" s="3">
        <v>0</v>
      </c>
      <c r="AB76" s="3" t="s">
        <v>155</v>
      </c>
      <c r="AD76" s="13" t="s">
        <v>156</v>
      </c>
      <c r="AF76" s="3">
        <v>0</v>
      </c>
      <c r="AG76" s="3"/>
      <c r="AH76" s="3">
        <v>28256</v>
      </c>
      <c r="AI76" s="3"/>
      <c r="AJ76" s="3"/>
      <c r="AK76" s="3"/>
      <c r="AL76" s="3">
        <v>0</v>
      </c>
      <c r="AM76" s="3"/>
      <c r="AN76" s="3">
        <v>0</v>
      </c>
      <c r="AO76" s="3"/>
      <c r="AP76" s="3">
        <v>0</v>
      </c>
      <c r="AQ76" s="3"/>
      <c r="AR76" s="3">
        <v>0</v>
      </c>
      <c r="AS76" s="3"/>
      <c r="AT76" s="3"/>
      <c r="AU76" s="3"/>
      <c r="AV76" s="3">
        <v>0</v>
      </c>
      <c r="AW76" s="3"/>
      <c r="AX76" s="3">
        <v>0</v>
      </c>
      <c r="AY76" s="3"/>
      <c r="AZ76" s="3">
        <f t="shared" si="5"/>
        <v>16426515</v>
      </c>
      <c r="BA76" s="3"/>
      <c r="BB76" s="3">
        <v>15000</v>
      </c>
      <c r="BC76" s="3"/>
      <c r="BD76" s="3"/>
      <c r="BE76" s="3"/>
      <c r="BF76" s="3"/>
      <c r="BG76" s="3"/>
      <c r="BH76" s="3">
        <v>0</v>
      </c>
      <c r="BI76" s="3" t="s">
        <v>155</v>
      </c>
      <c r="BK76" s="13" t="s">
        <v>156</v>
      </c>
      <c r="BL76" s="3"/>
      <c r="BM76" s="3">
        <f t="shared" si="4"/>
        <v>16441515</v>
      </c>
      <c r="BN76" s="3"/>
      <c r="BO76" s="3">
        <f>GenRev!AU76-BM76</f>
        <v>-3485</v>
      </c>
      <c r="BP76" s="3"/>
      <c r="BQ76" s="3">
        <v>4618381</v>
      </c>
      <c r="BR76" s="3"/>
      <c r="BS76" s="3">
        <v>0</v>
      </c>
      <c r="BT76" s="3"/>
      <c r="BU76" s="3">
        <f t="shared" si="6"/>
        <v>4614896</v>
      </c>
      <c r="BV76" s="3"/>
      <c r="BW76" s="14">
        <f>+BU76-GenBS!AC76</f>
        <v>0</v>
      </c>
    </row>
    <row r="77" spans="1:75" s="13" customFormat="1" hidden="1">
      <c r="A77" s="13" t="s">
        <v>281</v>
      </c>
      <c r="C77" s="13" t="s">
        <v>157</v>
      </c>
      <c r="E77" s="3">
        <v>0</v>
      </c>
      <c r="F77" s="3"/>
      <c r="G77" s="3">
        <v>0</v>
      </c>
      <c r="H77" s="3"/>
      <c r="I77" s="3">
        <v>0</v>
      </c>
      <c r="J77" s="3"/>
      <c r="K77" s="3">
        <v>0</v>
      </c>
      <c r="L77" s="3"/>
      <c r="M77" s="3">
        <v>0</v>
      </c>
      <c r="N77" s="3"/>
      <c r="O77" s="3">
        <v>0</v>
      </c>
      <c r="P77" s="3"/>
      <c r="Q77" s="3">
        <v>0</v>
      </c>
      <c r="R77" s="3"/>
      <c r="S77" s="3">
        <v>0</v>
      </c>
      <c r="T77" s="3"/>
      <c r="U77" s="3">
        <v>0</v>
      </c>
      <c r="V77" s="3"/>
      <c r="W77" s="3">
        <v>0</v>
      </c>
      <c r="X77" s="3"/>
      <c r="Y77" s="3">
        <v>0</v>
      </c>
      <c r="Z77" s="3"/>
      <c r="AA77" s="3">
        <v>0</v>
      </c>
      <c r="AB77" s="13" t="s">
        <v>281</v>
      </c>
      <c r="AD77" s="13" t="s">
        <v>157</v>
      </c>
      <c r="AF77" s="3">
        <v>0</v>
      </c>
      <c r="AG77" s="3"/>
      <c r="AH77" s="3">
        <v>0</v>
      </c>
      <c r="AI77" s="3"/>
      <c r="AJ77" s="3"/>
      <c r="AK77" s="3"/>
      <c r="AL77" s="3">
        <v>0</v>
      </c>
      <c r="AM77" s="3"/>
      <c r="AN77" s="3">
        <v>0</v>
      </c>
      <c r="AO77" s="3"/>
      <c r="AP77" s="3">
        <v>0</v>
      </c>
      <c r="AQ77" s="3"/>
      <c r="AR77" s="3">
        <v>0</v>
      </c>
      <c r="AS77" s="3"/>
      <c r="AT77" s="3"/>
      <c r="AU77" s="3"/>
      <c r="AV77" s="3">
        <v>0</v>
      </c>
      <c r="AW77" s="3"/>
      <c r="AX77" s="3">
        <v>0</v>
      </c>
      <c r="AY77" s="3"/>
      <c r="AZ77" s="3">
        <f t="shared" si="5"/>
        <v>0</v>
      </c>
      <c r="BA77" s="3"/>
      <c r="BB77" s="3">
        <v>0</v>
      </c>
      <c r="BC77" s="3"/>
      <c r="BD77" s="3"/>
      <c r="BE77" s="3"/>
      <c r="BF77" s="3"/>
      <c r="BG77" s="3"/>
      <c r="BH77" s="3">
        <v>0</v>
      </c>
      <c r="BI77" s="13" t="s">
        <v>281</v>
      </c>
      <c r="BK77" s="13" t="s">
        <v>157</v>
      </c>
      <c r="BL77" s="3"/>
      <c r="BM77" s="3">
        <f t="shared" si="4"/>
        <v>0</v>
      </c>
      <c r="BN77" s="3"/>
      <c r="BO77" s="3">
        <f>GenRev!AU77-BM77</f>
        <v>0</v>
      </c>
      <c r="BP77" s="3"/>
      <c r="BQ77" s="3"/>
      <c r="BR77" s="3"/>
      <c r="BS77" s="3"/>
      <c r="BT77" s="3"/>
      <c r="BU77" s="3">
        <f t="shared" si="6"/>
        <v>0</v>
      </c>
      <c r="BV77" s="3"/>
      <c r="BW77" s="14">
        <f>+BU77-GenBS!AC77</f>
        <v>0</v>
      </c>
    </row>
    <row r="78" spans="1:75" s="13" customFormat="1">
      <c r="A78" s="13" t="s">
        <v>310</v>
      </c>
      <c r="C78" s="13" t="s">
        <v>158</v>
      </c>
      <c r="E78" s="3">
        <v>983155</v>
      </c>
      <c r="F78" s="3"/>
      <c r="G78" s="3">
        <v>1559197</v>
      </c>
      <c r="H78" s="3"/>
      <c r="I78" s="3">
        <v>0</v>
      </c>
      <c r="J78" s="3"/>
      <c r="K78" s="3">
        <v>0</v>
      </c>
      <c r="L78" s="3"/>
      <c r="M78" s="3">
        <v>0</v>
      </c>
      <c r="N78" s="3"/>
      <c r="O78" s="3">
        <v>2312709</v>
      </c>
      <c r="P78" s="3"/>
      <c r="Q78" s="3">
        <v>3102027</v>
      </c>
      <c r="R78" s="3"/>
      <c r="S78" s="3">
        <v>36161</v>
      </c>
      <c r="T78" s="3"/>
      <c r="U78" s="3">
        <v>511333</v>
      </c>
      <c r="V78" s="3"/>
      <c r="W78" s="3">
        <v>250967</v>
      </c>
      <c r="X78" s="3"/>
      <c r="Y78" s="3">
        <v>0</v>
      </c>
      <c r="Z78" s="3"/>
      <c r="AA78" s="3">
        <v>120091</v>
      </c>
      <c r="AB78" s="13" t="s">
        <v>310</v>
      </c>
      <c r="AD78" s="13" t="s">
        <v>158</v>
      </c>
      <c r="AF78" s="3">
        <v>541975</v>
      </c>
      <c r="AG78" s="3"/>
      <c r="AH78" s="3">
        <v>330947</v>
      </c>
      <c r="AI78" s="3"/>
      <c r="AJ78" s="3"/>
      <c r="AK78" s="3"/>
      <c r="AL78" s="3">
        <v>0</v>
      </c>
      <c r="AM78" s="3"/>
      <c r="AN78" s="3">
        <v>53244</v>
      </c>
      <c r="AO78" s="3"/>
      <c r="AP78" s="3">
        <v>0</v>
      </c>
      <c r="AQ78" s="3"/>
      <c r="AR78" s="3">
        <v>0</v>
      </c>
      <c r="AS78" s="3"/>
      <c r="AT78" s="3"/>
      <c r="AU78" s="3"/>
      <c r="AV78" s="3">
        <v>52180</v>
      </c>
      <c r="AW78" s="3"/>
      <c r="AX78" s="3">
        <v>26936</v>
      </c>
      <c r="AY78" s="3"/>
      <c r="AZ78" s="3">
        <f t="shared" si="5"/>
        <v>9880922</v>
      </c>
      <c r="BA78" s="3"/>
      <c r="BB78" s="3">
        <v>0</v>
      </c>
      <c r="BC78" s="3"/>
      <c r="BD78" s="3"/>
      <c r="BE78" s="3"/>
      <c r="BF78" s="3"/>
      <c r="BG78" s="3"/>
      <c r="BH78" s="3">
        <v>0</v>
      </c>
      <c r="BI78" s="13" t="s">
        <v>310</v>
      </c>
      <c r="BK78" s="13" t="s">
        <v>158</v>
      </c>
      <c r="BL78" s="3"/>
      <c r="BM78" s="3">
        <f t="shared" si="4"/>
        <v>9880922</v>
      </c>
      <c r="BN78" s="3"/>
      <c r="BO78" s="3">
        <f>GenRev!AU78-BM78</f>
        <v>-176113</v>
      </c>
      <c r="BP78" s="3"/>
      <c r="BQ78" s="3">
        <v>635679</v>
      </c>
      <c r="BR78" s="3"/>
      <c r="BS78" s="3">
        <v>0</v>
      </c>
      <c r="BT78" s="3"/>
      <c r="BU78" s="3">
        <f t="shared" si="6"/>
        <v>459566</v>
      </c>
      <c r="BV78" s="3"/>
      <c r="BW78" s="14">
        <f>+BU78-GenBS!AC78</f>
        <v>0</v>
      </c>
    </row>
    <row r="79" spans="1:75" s="13" customFormat="1">
      <c r="A79" s="3" t="s">
        <v>312</v>
      </c>
      <c r="C79" s="13" t="s">
        <v>159</v>
      </c>
      <c r="E79" s="3">
        <v>734060</v>
      </c>
      <c r="F79" s="3"/>
      <c r="G79" s="3">
        <v>26741435</v>
      </c>
      <c r="H79" s="3"/>
      <c r="I79" s="3">
        <v>560466</v>
      </c>
      <c r="J79" s="3"/>
      <c r="K79" s="3">
        <v>0</v>
      </c>
      <c r="L79" s="3"/>
      <c r="M79" s="3">
        <v>0</v>
      </c>
      <c r="N79" s="3"/>
      <c r="O79" s="3">
        <v>5263804</v>
      </c>
      <c r="P79" s="3"/>
      <c r="Q79" s="3">
        <v>9135515</v>
      </c>
      <c r="R79" s="3"/>
      <c r="S79" s="3">
        <v>86016</v>
      </c>
      <c r="T79" s="3"/>
      <c r="U79" s="3">
        <v>9923943</v>
      </c>
      <c r="V79" s="3"/>
      <c r="W79" s="3">
        <v>676130</v>
      </c>
      <c r="X79" s="3"/>
      <c r="Y79" s="3">
        <v>21375</v>
      </c>
      <c r="Z79" s="3"/>
      <c r="AA79" s="3">
        <v>958473</v>
      </c>
      <c r="AB79" s="3" t="s">
        <v>312</v>
      </c>
      <c r="AD79" s="13" t="s">
        <v>159</v>
      </c>
      <c r="AF79" s="3">
        <v>2753</v>
      </c>
      <c r="AG79" s="3"/>
      <c r="AH79" s="3">
        <v>78858</v>
      </c>
      <c r="AI79" s="3"/>
      <c r="AJ79" s="3"/>
      <c r="AK79" s="3"/>
      <c r="AL79" s="3">
        <v>0</v>
      </c>
      <c r="AM79" s="3"/>
      <c r="AN79" s="3">
        <v>78883</v>
      </c>
      <c r="AO79" s="3"/>
      <c r="AP79" s="3">
        <v>62195</v>
      </c>
      <c r="AQ79" s="3"/>
      <c r="AR79" s="3">
        <v>0</v>
      </c>
      <c r="AS79" s="3"/>
      <c r="AT79" s="3"/>
      <c r="AU79" s="3"/>
      <c r="AV79" s="3">
        <v>1673866</v>
      </c>
      <c r="AW79" s="3"/>
      <c r="AX79" s="3">
        <v>399599</v>
      </c>
      <c r="AY79" s="3"/>
      <c r="AZ79" s="3">
        <f t="shared" si="5"/>
        <v>56397371</v>
      </c>
      <c r="BA79" s="3"/>
      <c r="BB79" s="3">
        <v>0</v>
      </c>
      <c r="BC79" s="3"/>
      <c r="BD79" s="3"/>
      <c r="BE79" s="3"/>
      <c r="BF79" s="3"/>
      <c r="BG79" s="3"/>
      <c r="BH79" s="3">
        <v>0</v>
      </c>
      <c r="BI79" s="3" t="s">
        <v>312</v>
      </c>
      <c r="BK79" s="13" t="s">
        <v>159</v>
      </c>
      <c r="BL79" s="3"/>
      <c r="BM79" s="3">
        <f t="shared" si="4"/>
        <v>56397371</v>
      </c>
      <c r="BN79" s="3"/>
      <c r="BO79" s="3">
        <f>GenRev!AU79-BM79</f>
        <v>-1173148</v>
      </c>
      <c r="BP79" s="3"/>
      <c r="BQ79" s="3">
        <v>23776200</v>
      </c>
      <c r="BR79" s="3"/>
      <c r="BS79" s="3">
        <v>0</v>
      </c>
      <c r="BT79" s="3"/>
      <c r="BU79" s="3">
        <f t="shared" si="6"/>
        <v>22603052</v>
      </c>
      <c r="BV79" s="3"/>
      <c r="BW79" s="14">
        <f>+BU79-GenBS!AC79</f>
        <v>0</v>
      </c>
    </row>
    <row r="80" spans="1:75" s="13" customFormat="1" hidden="1">
      <c r="A80" s="3" t="s">
        <v>315</v>
      </c>
      <c r="C80" s="13" t="s">
        <v>160</v>
      </c>
      <c r="E80" s="3">
        <v>0</v>
      </c>
      <c r="F80" s="3"/>
      <c r="G80" s="3">
        <v>0</v>
      </c>
      <c r="H80" s="3"/>
      <c r="I80" s="3">
        <v>0</v>
      </c>
      <c r="J80" s="3"/>
      <c r="K80" s="3">
        <v>0</v>
      </c>
      <c r="L80" s="3"/>
      <c r="M80" s="3">
        <v>0</v>
      </c>
      <c r="N80" s="3"/>
      <c r="O80" s="3">
        <v>0</v>
      </c>
      <c r="P80" s="3"/>
      <c r="Q80" s="3">
        <v>0</v>
      </c>
      <c r="R80" s="3"/>
      <c r="S80" s="3">
        <v>0</v>
      </c>
      <c r="T80" s="3"/>
      <c r="U80" s="3">
        <v>0</v>
      </c>
      <c r="V80" s="3"/>
      <c r="W80" s="3">
        <v>0</v>
      </c>
      <c r="X80" s="3"/>
      <c r="Y80" s="3">
        <v>0</v>
      </c>
      <c r="Z80" s="3"/>
      <c r="AA80" s="3">
        <v>0</v>
      </c>
      <c r="AB80" s="3" t="s">
        <v>315</v>
      </c>
      <c r="AD80" s="13" t="s">
        <v>160</v>
      </c>
      <c r="AF80" s="3">
        <v>0</v>
      </c>
      <c r="AG80" s="3"/>
      <c r="AH80" s="3">
        <v>0</v>
      </c>
      <c r="AI80" s="3"/>
      <c r="AJ80" s="3"/>
      <c r="AK80" s="3"/>
      <c r="AL80" s="3">
        <v>0</v>
      </c>
      <c r="AM80" s="3"/>
      <c r="AN80" s="3">
        <v>0</v>
      </c>
      <c r="AO80" s="3"/>
      <c r="AP80" s="3">
        <v>0</v>
      </c>
      <c r="AQ80" s="3"/>
      <c r="AR80" s="3">
        <v>0</v>
      </c>
      <c r="AS80" s="3"/>
      <c r="AT80" s="3"/>
      <c r="AU80" s="3"/>
      <c r="AV80" s="3">
        <v>0</v>
      </c>
      <c r="AW80" s="3"/>
      <c r="AX80" s="3">
        <v>0</v>
      </c>
      <c r="AY80" s="3"/>
      <c r="AZ80" s="3">
        <f t="shared" si="5"/>
        <v>0</v>
      </c>
      <c r="BA80" s="3"/>
      <c r="BB80" s="3">
        <v>0</v>
      </c>
      <c r="BC80" s="3"/>
      <c r="BD80" s="3"/>
      <c r="BE80" s="3"/>
      <c r="BF80" s="3"/>
      <c r="BG80" s="3"/>
      <c r="BH80" s="3">
        <v>0</v>
      </c>
      <c r="BI80" s="3" t="s">
        <v>315</v>
      </c>
      <c r="BK80" s="13" t="s">
        <v>160</v>
      </c>
      <c r="BL80" s="3"/>
      <c r="BM80" s="3">
        <f t="shared" si="4"/>
        <v>0</v>
      </c>
      <c r="BN80" s="3"/>
      <c r="BO80" s="3">
        <f>GenRev!AU80-BM80</f>
        <v>0</v>
      </c>
      <c r="BP80" s="3"/>
      <c r="BQ80" s="3"/>
      <c r="BR80" s="3"/>
      <c r="BS80" s="3"/>
      <c r="BT80" s="3"/>
      <c r="BU80" s="3">
        <f t="shared" si="6"/>
        <v>0</v>
      </c>
      <c r="BV80" s="3"/>
      <c r="BW80" s="14">
        <f>+BU80-GenBS!AC80</f>
        <v>0</v>
      </c>
    </row>
    <row r="81" spans="1:75" s="13" customFormat="1" hidden="1">
      <c r="A81" s="3" t="s">
        <v>311</v>
      </c>
      <c r="C81" s="13" t="s">
        <v>161</v>
      </c>
      <c r="E81" s="3">
        <v>0</v>
      </c>
      <c r="F81" s="3"/>
      <c r="G81" s="3">
        <v>0</v>
      </c>
      <c r="H81" s="3"/>
      <c r="I81" s="3">
        <v>0</v>
      </c>
      <c r="J81" s="3"/>
      <c r="K81" s="3">
        <v>0</v>
      </c>
      <c r="L81" s="3"/>
      <c r="M81" s="3">
        <v>0</v>
      </c>
      <c r="N81" s="3"/>
      <c r="O81" s="3">
        <v>0</v>
      </c>
      <c r="P81" s="3"/>
      <c r="Q81" s="3">
        <v>0</v>
      </c>
      <c r="R81" s="3"/>
      <c r="S81" s="3">
        <v>0</v>
      </c>
      <c r="T81" s="3"/>
      <c r="U81" s="3">
        <v>0</v>
      </c>
      <c r="V81" s="3"/>
      <c r="W81" s="3">
        <v>0</v>
      </c>
      <c r="X81" s="3"/>
      <c r="Y81" s="3">
        <v>0</v>
      </c>
      <c r="Z81" s="3"/>
      <c r="AA81" s="3">
        <v>0</v>
      </c>
      <c r="AB81" s="3" t="s">
        <v>311</v>
      </c>
      <c r="AD81" s="13" t="s">
        <v>161</v>
      </c>
      <c r="AF81" s="3">
        <v>0</v>
      </c>
      <c r="AG81" s="3"/>
      <c r="AH81" s="3">
        <v>0</v>
      </c>
      <c r="AI81" s="3"/>
      <c r="AJ81" s="3"/>
      <c r="AK81" s="3"/>
      <c r="AL81" s="3">
        <v>0</v>
      </c>
      <c r="AM81" s="3"/>
      <c r="AN81" s="3">
        <v>0</v>
      </c>
      <c r="AO81" s="3"/>
      <c r="AP81" s="3">
        <v>0</v>
      </c>
      <c r="AQ81" s="3"/>
      <c r="AR81" s="3">
        <v>0</v>
      </c>
      <c r="AS81" s="3"/>
      <c r="AT81" s="3"/>
      <c r="AU81" s="3"/>
      <c r="AV81" s="3">
        <v>0</v>
      </c>
      <c r="AW81" s="3"/>
      <c r="AX81" s="3">
        <v>0</v>
      </c>
      <c r="AY81" s="3"/>
      <c r="AZ81" s="3">
        <f t="shared" si="5"/>
        <v>0</v>
      </c>
      <c r="BA81" s="3"/>
      <c r="BB81" s="3">
        <v>0</v>
      </c>
      <c r="BC81" s="3"/>
      <c r="BD81" s="3"/>
      <c r="BE81" s="3"/>
      <c r="BF81" s="3"/>
      <c r="BG81" s="3"/>
      <c r="BH81" s="3">
        <v>0</v>
      </c>
      <c r="BI81" s="3" t="s">
        <v>311</v>
      </c>
      <c r="BK81" s="13" t="s">
        <v>161</v>
      </c>
      <c r="BL81" s="3"/>
      <c r="BM81" s="3">
        <f t="shared" si="4"/>
        <v>0</v>
      </c>
      <c r="BN81" s="3"/>
      <c r="BO81" s="3">
        <f>GenRev!AU81-BM81</f>
        <v>0</v>
      </c>
      <c r="BP81" s="3"/>
      <c r="BQ81" s="3"/>
      <c r="BR81" s="3"/>
      <c r="BS81" s="3"/>
      <c r="BT81" s="3"/>
      <c r="BU81" s="3">
        <f t="shared" si="6"/>
        <v>0</v>
      </c>
      <c r="BV81" s="3"/>
      <c r="BW81" s="14">
        <f>+BU81-GenBS!AC81</f>
        <v>0</v>
      </c>
    </row>
    <row r="82" spans="1:75" s="13" customFormat="1">
      <c r="A82" s="3" t="s">
        <v>309</v>
      </c>
      <c r="C82" s="13" t="s">
        <v>200</v>
      </c>
      <c r="E82" s="3">
        <v>514334</v>
      </c>
      <c r="F82" s="3"/>
      <c r="G82" s="3">
        <v>1370919</v>
      </c>
      <c r="H82" s="3"/>
      <c r="I82" s="3">
        <v>12617</v>
      </c>
      <c r="J82" s="3"/>
      <c r="K82" s="3">
        <v>0</v>
      </c>
      <c r="L82" s="3"/>
      <c r="M82" s="3">
        <v>332379</v>
      </c>
      <c r="N82" s="3"/>
      <c r="O82" s="3">
        <v>2390189</v>
      </c>
      <c r="P82" s="3"/>
      <c r="Q82" s="3">
        <v>2618141</v>
      </c>
      <c r="R82" s="3"/>
      <c r="S82" s="3">
        <v>26694</v>
      </c>
      <c r="T82" s="3"/>
      <c r="U82" s="3">
        <v>361512</v>
      </c>
      <c r="V82" s="3"/>
      <c r="W82" s="3">
        <v>261545</v>
      </c>
      <c r="X82" s="3"/>
      <c r="Y82" s="3">
        <v>115981</v>
      </c>
      <c r="Z82" s="3"/>
      <c r="AA82" s="3">
        <v>168092</v>
      </c>
      <c r="AB82" s="3" t="s">
        <v>309</v>
      </c>
      <c r="AD82" s="13" t="s">
        <v>200</v>
      </c>
      <c r="AF82" s="3">
        <v>13879</v>
      </c>
      <c r="AG82" s="3"/>
      <c r="AH82" s="3">
        <v>375217</v>
      </c>
      <c r="AI82" s="3"/>
      <c r="AJ82" s="3"/>
      <c r="AK82" s="3"/>
      <c r="AL82" s="3">
        <v>0</v>
      </c>
      <c r="AM82" s="3"/>
      <c r="AN82" s="3">
        <v>0</v>
      </c>
      <c r="AO82" s="3"/>
      <c r="AP82" s="3">
        <v>0</v>
      </c>
      <c r="AQ82" s="3"/>
      <c r="AR82" s="3">
        <v>0</v>
      </c>
      <c r="AS82" s="3"/>
      <c r="AT82" s="3"/>
      <c r="AU82" s="3"/>
      <c r="AV82" s="3">
        <v>87023</v>
      </c>
      <c r="AW82" s="3"/>
      <c r="AX82" s="3">
        <v>24352</v>
      </c>
      <c r="AY82" s="3"/>
      <c r="AZ82" s="3">
        <f t="shared" si="5"/>
        <v>8672874</v>
      </c>
      <c r="BA82" s="3"/>
      <c r="BB82" s="3">
        <v>0</v>
      </c>
      <c r="BC82" s="3"/>
      <c r="BD82" s="3"/>
      <c r="BE82" s="3"/>
      <c r="BF82" s="3"/>
      <c r="BG82" s="3"/>
      <c r="BH82" s="3">
        <v>0</v>
      </c>
      <c r="BI82" s="3" t="s">
        <v>309</v>
      </c>
      <c r="BK82" s="13" t="s">
        <v>200</v>
      </c>
      <c r="BL82" s="3"/>
      <c r="BM82" s="3">
        <f t="shared" si="4"/>
        <v>8672874</v>
      </c>
      <c r="BN82" s="3"/>
      <c r="BO82" s="3">
        <f>GenRev!AU82-BM82</f>
        <v>21789</v>
      </c>
      <c r="BP82" s="3"/>
      <c r="BQ82" s="3">
        <v>1009685</v>
      </c>
      <c r="BR82" s="3"/>
      <c r="BS82" s="3">
        <v>0</v>
      </c>
      <c r="BT82" s="3"/>
      <c r="BU82" s="3">
        <f t="shared" si="6"/>
        <v>1031474</v>
      </c>
      <c r="BV82" s="3"/>
      <c r="BW82" s="14">
        <f>+BU82-GenBS!AC82</f>
        <v>0</v>
      </c>
    </row>
    <row r="83" spans="1:75" s="13" customFormat="1">
      <c r="A83" s="3" t="s">
        <v>318</v>
      </c>
      <c r="C83" s="13" t="s">
        <v>164</v>
      </c>
      <c r="E83" s="3">
        <v>740643</v>
      </c>
      <c r="F83" s="3"/>
      <c r="G83" s="3">
        <v>8860584</v>
      </c>
      <c r="H83" s="3"/>
      <c r="I83" s="3">
        <v>0</v>
      </c>
      <c r="J83" s="3"/>
      <c r="K83" s="3">
        <v>0</v>
      </c>
      <c r="L83" s="3"/>
      <c r="M83" s="3">
        <v>56262</v>
      </c>
      <c r="N83" s="3"/>
      <c r="O83" s="3">
        <v>8313786</v>
      </c>
      <c r="P83" s="3"/>
      <c r="Q83" s="3">
        <v>7628106</v>
      </c>
      <c r="R83" s="3"/>
      <c r="S83" s="3">
        <v>70637</v>
      </c>
      <c r="T83" s="3"/>
      <c r="U83" s="3">
        <v>8386777</v>
      </c>
      <c r="V83" s="3"/>
      <c r="W83" s="3">
        <v>1586517</v>
      </c>
      <c r="X83" s="3"/>
      <c r="Y83" s="3">
        <v>526941</v>
      </c>
      <c r="Z83" s="3"/>
      <c r="AA83" s="3">
        <v>1124779</v>
      </c>
      <c r="AB83" s="3" t="s">
        <v>318</v>
      </c>
      <c r="AD83" s="13" t="s">
        <v>164</v>
      </c>
      <c r="AF83" s="3">
        <v>180984</v>
      </c>
      <c r="AG83" s="3"/>
      <c r="AH83" s="3">
        <v>20424742</v>
      </c>
      <c r="AI83" s="3"/>
      <c r="AJ83" s="3"/>
      <c r="AK83" s="3"/>
      <c r="AL83" s="3">
        <v>0</v>
      </c>
      <c r="AM83" s="3"/>
      <c r="AN83" s="3">
        <v>69125</v>
      </c>
      <c r="AO83" s="3"/>
      <c r="AP83" s="3">
        <v>99761</v>
      </c>
      <c r="AQ83" s="3"/>
      <c r="AR83" s="3">
        <v>7017</v>
      </c>
      <c r="AS83" s="3"/>
      <c r="AT83" s="3"/>
      <c r="AU83" s="3"/>
      <c r="AV83" s="3">
        <v>301302</v>
      </c>
      <c r="AW83" s="3"/>
      <c r="AX83" s="3">
        <v>126325</v>
      </c>
      <c r="AY83" s="3"/>
      <c r="AZ83" s="3">
        <f t="shared" si="5"/>
        <v>58504288</v>
      </c>
      <c r="BA83" s="3"/>
      <c r="BB83" s="3">
        <v>24548</v>
      </c>
      <c r="BC83" s="3"/>
      <c r="BD83" s="3"/>
      <c r="BE83" s="3"/>
      <c r="BF83" s="3"/>
      <c r="BG83" s="3"/>
      <c r="BH83" s="3">
        <v>0</v>
      </c>
      <c r="BI83" s="3" t="s">
        <v>318</v>
      </c>
      <c r="BK83" s="13" t="s">
        <v>164</v>
      </c>
      <c r="BL83" s="3"/>
      <c r="BM83" s="3">
        <f t="shared" si="4"/>
        <v>58528836</v>
      </c>
      <c r="BN83" s="3"/>
      <c r="BO83" s="3">
        <f>GenRev!AU83-BM83</f>
        <v>-238189</v>
      </c>
      <c r="BP83" s="3"/>
      <c r="BQ83" s="3">
        <v>12307162</v>
      </c>
      <c r="BR83" s="3"/>
      <c r="BS83" s="3">
        <v>0</v>
      </c>
      <c r="BT83" s="3"/>
      <c r="BU83" s="3">
        <f t="shared" si="6"/>
        <v>12068973</v>
      </c>
      <c r="BV83" s="3"/>
      <c r="BW83" s="14">
        <f>+BU83-GenBS!AC83</f>
        <v>0</v>
      </c>
    </row>
    <row r="84" spans="1:75" s="13" customFormat="1" hidden="1">
      <c r="A84" s="13" t="s">
        <v>279</v>
      </c>
      <c r="C84" s="13" t="s">
        <v>162</v>
      </c>
      <c r="E84" s="3">
        <v>0</v>
      </c>
      <c r="F84" s="3"/>
      <c r="G84" s="3">
        <v>0</v>
      </c>
      <c r="H84" s="3"/>
      <c r="I84" s="3">
        <v>0</v>
      </c>
      <c r="J84" s="3"/>
      <c r="K84" s="3">
        <v>0</v>
      </c>
      <c r="L84" s="3"/>
      <c r="M84" s="3">
        <v>0</v>
      </c>
      <c r="N84" s="3"/>
      <c r="O84" s="3">
        <v>0</v>
      </c>
      <c r="P84" s="3"/>
      <c r="Q84" s="3">
        <v>0</v>
      </c>
      <c r="R84" s="3"/>
      <c r="S84" s="3">
        <v>0</v>
      </c>
      <c r="T84" s="3"/>
      <c r="U84" s="3">
        <v>0</v>
      </c>
      <c r="V84" s="3"/>
      <c r="W84" s="3">
        <v>0</v>
      </c>
      <c r="X84" s="3"/>
      <c r="Y84" s="3">
        <v>0</v>
      </c>
      <c r="Z84" s="3"/>
      <c r="AA84" s="3">
        <v>0</v>
      </c>
      <c r="AB84" s="13" t="s">
        <v>279</v>
      </c>
      <c r="AD84" s="13" t="s">
        <v>162</v>
      </c>
      <c r="AF84" s="3">
        <v>0</v>
      </c>
      <c r="AG84" s="3"/>
      <c r="AH84" s="3">
        <v>0</v>
      </c>
      <c r="AI84" s="3"/>
      <c r="AJ84" s="3"/>
      <c r="AK84" s="3"/>
      <c r="AL84" s="3">
        <v>0</v>
      </c>
      <c r="AM84" s="3"/>
      <c r="AN84" s="3">
        <v>0</v>
      </c>
      <c r="AO84" s="3"/>
      <c r="AP84" s="3">
        <v>0</v>
      </c>
      <c r="AQ84" s="3"/>
      <c r="AR84" s="3">
        <v>0</v>
      </c>
      <c r="AS84" s="3"/>
      <c r="AT84" s="3"/>
      <c r="AU84" s="3"/>
      <c r="AV84" s="3">
        <v>0</v>
      </c>
      <c r="AW84" s="3"/>
      <c r="AX84" s="3">
        <v>0</v>
      </c>
      <c r="AY84" s="3"/>
      <c r="AZ84" s="3">
        <f t="shared" si="5"/>
        <v>0</v>
      </c>
      <c r="BA84" s="3"/>
      <c r="BB84" s="3">
        <v>0</v>
      </c>
      <c r="BC84" s="3"/>
      <c r="BD84" s="3"/>
      <c r="BE84" s="3"/>
      <c r="BF84" s="3"/>
      <c r="BG84" s="3"/>
      <c r="BH84" s="3">
        <v>0</v>
      </c>
      <c r="BI84" s="13" t="s">
        <v>279</v>
      </c>
      <c r="BK84" s="13" t="s">
        <v>162</v>
      </c>
      <c r="BL84" s="3"/>
      <c r="BM84" s="3">
        <f t="shared" si="4"/>
        <v>0</v>
      </c>
      <c r="BN84" s="3"/>
      <c r="BO84" s="3">
        <f>GenRev!AU84-BM84</f>
        <v>0</v>
      </c>
      <c r="BP84" s="3"/>
      <c r="BQ84" s="3"/>
      <c r="BR84" s="3"/>
      <c r="BS84" s="3"/>
      <c r="BT84" s="3"/>
      <c r="BU84" s="3">
        <f t="shared" si="6"/>
        <v>0</v>
      </c>
      <c r="BV84" s="3"/>
      <c r="BW84" s="14">
        <f>+BU84-GenBS!AC84</f>
        <v>0</v>
      </c>
    </row>
    <row r="85" spans="1:75" s="13" customFormat="1">
      <c r="A85" s="3" t="s">
        <v>320</v>
      </c>
      <c r="C85" s="13" t="s">
        <v>163</v>
      </c>
      <c r="E85" s="3">
        <v>269336</v>
      </c>
      <c r="F85" s="3"/>
      <c r="G85" s="3">
        <v>1454690</v>
      </c>
      <c r="H85" s="3"/>
      <c r="I85" s="3">
        <v>0</v>
      </c>
      <c r="J85" s="3"/>
      <c r="K85" s="3">
        <v>0</v>
      </c>
      <c r="L85" s="3"/>
      <c r="M85" s="3">
        <v>732</v>
      </c>
      <c r="N85" s="3"/>
      <c r="O85" s="3">
        <v>2070062</v>
      </c>
      <c r="P85" s="3"/>
      <c r="Q85" s="3">
        <v>2816312</v>
      </c>
      <c r="R85" s="3"/>
      <c r="S85" s="3">
        <v>14979</v>
      </c>
      <c r="T85" s="3"/>
      <c r="U85" s="3">
        <v>1331413</v>
      </c>
      <c r="V85" s="3"/>
      <c r="W85" s="3">
        <v>193913</v>
      </c>
      <c r="X85" s="3"/>
      <c r="Y85" s="3">
        <v>0</v>
      </c>
      <c r="Z85" s="3"/>
      <c r="AA85" s="3">
        <v>56490</v>
      </c>
      <c r="AB85" s="3" t="s">
        <v>320</v>
      </c>
      <c r="AD85" s="13" t="s">
        <v>163</v>
      </c>
      <c r="AF85" s="3">
        <v>0</v>
      </c>
      <c r="AG85" s="3"/>
      <c r="AH85" s="3">
        <v>77375</v>
      </c>
      <c r="AI85" s="3"/>
      <c r="AJ85" s="3"/>
      <c r="AK85" s="3"/>
      <c r="AL85" s="3">
        <v>0</v>
      </c>
      <c r="AM85" s="3"/>
      <c r="AN85" s="3">
        <v>0</v>
      </c>
      <c r="AO85" s="3"/>
      <c r="AP85" s="3">
        <v>0</v>
      </c>
      <c r="AQ85" s="3"/>
      <c r="AR85" s="3">
        <v>0</v>
      </c>
      <c r="AS85" s="3"/>
      <c r="AT85" s="3"/>
      <c r="AU85" s="3"/>
      <c r="AV85" s="3">
        <v>6665</v>
      </c>
      <c r="AW85" s="3"/>
      <c r="AX85" s="3">
        <v>1450</v>
      </c>
      <c r="AY85" s="3"/>
      <c r="AZ85" s="3">
        <f t="shared" si="5"/>
        <v>8293417</v>
      </c>
      <c r="BA85" s="3"/>
      <c r="BB85" s="3">
        <v>400000</v>
      </c>
      <c r="BC85" s="3"/>
      <c r="BD85" s="3"/>
      <c r="BE85" s="3"/>
      <c r="BF85" s="3"/>
      <c r="BG85" s="3"/>
      <c r="BH85" s="3">
        <v>0</v>
      </c>
      <c r="BI85" s="3" t="s">
        <v>320</v>
      </c>
      <c r="BK85" s="13" t="s">
        <v>163</v>
      </c>
      <c r="BL85" s="3"/>
      <c r="BM85" s="3">
        <f t="shared" si="4"/>
        <v>8693417</v>
      </c>
      <c r="BN85" s="3"/>
      <c r="BO85" s="3">
        <f>GenRev!AU85-BM85</f>
        <v>-92537</v>
      </c>
      <c r="BP85" s="3"/>
      <c r="BQ85" s="3">
        <v>1145698</v>
      </c>
      <c r="BR85" s="3"/>
      <c r="BS85" s="3">
        <v>0</v>
      </c>
      <c r="BT85" s="3"/>
      <c r="BU85" s="3">
        <f t="shared" si="6"/>
        <v>1053161</v>
      </c>
      <c r="BV85" s="3"/>
      <c r="BW85" s="14">
        <f>+BU85-GenBS!AC85</f>
        <v>0</v>
      </c>
    </row>
    <row r="86" spans="1:75" s="13" customFormat="1">
      <c r="A86" s="3" t="s">
        <v>166</v>
      </c>
      <c r="C86" s="13" t="s">
        <v>167</v>
      </c>
      <c r="E86" s="3">
        <v>438326</v>
      </c>
      <c r="F86" s="3"/>
      <c r="G86" s="3">
        <v>0</v>
      </c>
      <c r="H86" s="3"/>
      <c r="I86" s="3">
        <v>0</v>
      </c>
      <c r="J86" s="3"/>
      <c r="K86" s="3">
        <v>0</v>
      </c>
      <c r="L86" s="3"/>
      <c r="M86" s="3">
        <v>0</v>
      </c>
      <c r="N86" s="3"/>
      <c r="O86" s="3">
        <v>389958</v>
      </c>
      <c r="P86" s="3"/>
      <c r="Q86" s="3">
        <v>594013</v>
      </c>
      <c r="R86" s="3"/>
      <c r="S86" s="3">
        <v>35621</v>
      </c>
      <c r="T86" s="3"/>
      <c r="U86" s="3">
        <v>556614</v>
      </c>
      <c r="V86" s="3"/>
      <c r="W86" s="3">
        <v>65577</v>
      </c>
      <c r="X86" s="3"/>
      <c r="Y86" s="3">
        <v>0</v>
      </c>
      <c r="Z86" s="3"/>
      <c r="AA86" s="3">
        <v>0</v>
      </c>
      <c r="AB86" s="3" t="s">
        <v>166</v>
      </c>
      <c r="AD86" s="13" t="s">
        <v>167</v>
      </c>
      <c r="AF86" s="3">
        <v>67669</v>
      </c>
      <c r="AG86" s="3"/>
      <c r="AH86" s="3">
        <v>24242</v>
      </c>
      <c r="AI86" s="3"/>
      <c r="AJ86" s="3"/>
      <c r="AK86" s="3"/>
      <c r="AL86" s="3">
        <v>0</v>
      </c>
      <c r="AM86" s="3"/>
      <c r="AN86" s="3">
        <v>8066</v>
      </c>
      <c r="AO86" s="3"/>
      <c r="AP86" s="3">
        <v>0</v>
      </c>
      <c r="AQ86" s="3"/>
      <c r="AR86" s="3">
        <v>0</v>
      </c>
      <c r="AS86" s="3"/>
      <c r="AT86" s="3"/>
      <c r="AU86" s="3"/>
      <c r="AV86" s="3">
        <v>0</v>
      </c>
      <c r="AW86" s="3"/>
      <c r="AX86" s="3">
        <v>0</v>
      </c>
      <c r="AY86" s="3"/>
      <c r="AZ86" s="3">
        <f t="shared" si="5"/>
        <v>2180086</v>
      </c>
      <c r="BA86" s="3"/>
      <c r="BB86" s="3">
        <v>0</v>
      </c>
      <c r="BC86" s="3"/>
      <c r="BD86" s="3"/>
      <c r="BE86" s="3"/>
      <c r="BF86" s="3"/>
      <c r="BG86" s="3"/>
      <c r="BH86" s="3">
        <v>0</v>
      </c>
      <c r="BI86" s="3" t="s">
        <v>166</v>
      </c>
      <c r="BK86" s="13" t="s">
        <v>167</v>
      </c>
      <c r="BL86" s="3"/>
      <c r="BM86" s="3">
        <f t="shared" si="4"/>
        <v>2180086</v>
      </c>
      <c r="BN86" s="3"/>
      <c r="BO86" s="3">
        <f>GenRev!AU86-BM86</f>
        <v>13036</v>
      </c>
      <c r="BP86" s="3"/>
      <c r="BQ86" s="3">
        <v>1060065</v>
      </c>
      <c r="BR86" s="3"/>
      <c r="BS86" s="3">
        <v>0</v>
      </c>
      <c r="BT86" s="3"/>
      <c r="BU86" s="3">
        <f t="shared" si="6"/>
        <v>1073101</v>
      </c>
      <c r="BV86" s="3"/>
      <c r="BW86" s="14">
        <f>+BU86-GenBS!AC86</f>
        <v>0</v>
      </c>
    </row>
    <row r="87" spans="1:75" s="13" customFormat="1">
      <c r="A87" s="61" t="s">
        <v>319</v>
      </c>
      <c r="C87" s="13" t="s">
        <v>168</v>
      </c>
      <c r="E87" s="3">
        <v>138551</v>
      </c>
      <c r="F87" s="3"/>
      <c r="G87" s="3">
        <v>3380268</v>
      </c>
      <c r="H87" s="3"/>
      <c r="I87" s="3">
        <v>307339</v>
      </c>
      <c r="J87" s="3"/>
      <c r="K87" s="3">
        <v>4114</v>
      </c>
      <c r="L87" s="3"/>
      <c r="M87" s="3">
        <v>0</v>
      </c>
      <c r="N87" s="3"/>
      <c r="O87" s="3">
        <v>3701254</v>
      </c>
      <c r="P87" s="3"/>
      <c r="Q87" s="3">
        <v>1970555</v>
      </c>
      <c r="R87" s="3"/>
      <c r="S87" s="3">
        <v>36650</v>
      </c>
      <c r="T87" s="3"/>
      <c r="U87" s="3">
        <v>1047782</v>
      </c>
      <c r="V87" s="3"/>
      <c r="W87" s="3">
        <v>248392</v>
      </c>
      <c r="X87" s="3"/>
      <c r="Y87" s="3">
        <v>22307</v>
      </c>
      <c r="Z87" s="3"/>
      <c r="AA87" s="3">
        <v>92558</v>
      </c>
      <c r="AB87" s="61" t="s">
        <v>319</v>
      </c>
      <c r="AD87" s="13" t="s">
        <v>168</v>
      </c>
      <c r="AF87" s="3">
        <v>1752</v>
      </c>
      <c r="AG87" s="3"/>
      <c r="AH87" s="3">
        <v>138096</v>
      </c>
      <c r="AI87" s="3"/>
      <c r="AJ87" s="3"/>
      <c r="AK87" s="3"/>
      <c r="AL87" s="3">
        <v>0</v>
      </c>
      <c r="AM87" s="3"/>
      <c r="AN87" s="3">
        <v>0</v>
      </c>
      <c r="AO87" s="3"/>
      <c r="AP87" s="3">
        <v>0</v>
      </c>
      <c r="AQ87" s="3"/>
      <c r="AR87" s="3">
        <v>0</v>
      </c>
      <c r="AS87" s="3"/>
      <c r="AT87" s="3"/>
      <c r="AU87" s="3"/>
      <c r="AV87" s="3">
        <v>0</v>
      </c>
      <c r="AW87" s="3"/>
      <c r="AX87" s="3">
        <v>0</v>
      </c>
      <c r="AY87" s="3"/>
      <c r="AZ87" s="3">
        <f t="shared" si="5"/>
        <v>11089618</v>
      </c>
      <c r="BA87" s="3"/>
      <c r="BB87" s="3">
        <v>0</v>
      </c>
      <c r="BC87" s="3"/>
      <c r="BD87" s="3"/>
      <c r="BE87" s="3"/>
      <c r="BF87" s="3"/>
      <c r="BG87" s="3"/>
      <c r="BH87" s="3">
        <v>0</v>
      </c>
      <c r="BI87" s="61" t="s">
        <v>319</v>
      </c>
      <c r="BK87" s="13" t="s">
        <v>168</v>
      </c>
      <c r="BL87" s="3"/>
      <c r="BM87" s="3">
        <f t="shared" si="4"/>
        <v>11089618</v>
      </c>
      <c r="BN87" s="3"/>
      <c r="BO87" s="3">
        <f>GenRev!AU87-BM87</f>
        <v>125314</v>
      </c>
      <c r="BP87" s="3"/>
      <c r="BQ87" s="3">
        <v>1072321</v>
      </c>
      <c r="BR87" s="3"/>
      <c r="BS87" s="3">
        <v>0</v>
      </c>
      <c r="BT87" s="3"/>
      <c r="BU87" s="3">
        <f t="shared" si="6"/>
        <v>1197635</v>
      </c>
      <c r="BV87" s="3"/>
      <c r="BW87" s="14">
        <f>+BU87-GenBS!AC87</f>
        <v>0</v>
      </c>
    </row>
    <row r="88" spans="1:75" s="13" customFormat="1">
      <c r="A88" s="13" t="s">
        <v>296</v>
      </c>
      <c r="C88" s="13" t="s">
        <v>169</v>
      </c>
      <c r="E88" s="3">
        <v>549685</v>
      </c>
      <c r="F88" s="3"/>
      <c r="G88" s="3">
        <v>2740027</v>
      </c>
      <c r="H88" s="3"/>
      <c r="I88" s="3">
        <v>0</v>
      </c>
      <c r="J88" s="3"/>
      <c r="K88" s="3">
        <v>0</v>
      </c>
      <c r="L88" s="3"/>
      <c r="M88" s="3">
        <v>0</v>
      </c>
      <c r="N88" s="3"/>
      <c r="O88" s="3">
        <v>5734912</v>
      </c>
      <c r="P88" s="3"/>
      <c r="Q88" s="3">
        <v>1874954</v>
      </c>
      <c r="R88" s="3"/>
      <c r="S88" s="3">
        <v>29692</v>
      </c>
      <c r="T88" s="3"/>
      <c r="U88" s="3">
        <v>292947</v>
      </c>
      <c r="V88" s="3"/>
      <c r="W88" s="3">
        <v>258332</v>
      </c>
      <c r="X88" s="3"/>
      <c r="Y88" s="3">
        <v>10347</v>
      </c>
      <c r="Z88" s="3"/>
      <c r="AA88" s="3">
        <v>190350</v>
      </c>
      <c r="AB88" s="13" t="s">
        <v>296</v>
      </c>
      <c r="AD88" s="13" t="s">
        <v>169</v>
      </c>
      <c r="AF88" s="3">
        <v>0</v>
      </c>
      <c r="AG88" s="3"/>
      <c r="AH88" s="3">
        <v>0</v>
      </c>
      <c r="AI88" s="3"/>
      <c r="AJ88" s="3"/>
      <c r="AK88" s="3"/>
      <c r="AL88" s="3">
        <v>0</v>
      </c>
      <c r="AM88" s="3"/>
      <c r="AN88" s="3">
        <v>0</v>
      </c>
      <c r="AO88" s="3"/>
      <c r="AP88" s="3">
        <v>0</v>
      </c>
      <c r="AQ88" s="3"/>
      <c r="AR88" s="3">
        <v>0</v>
      </c>
      <c r="AS88" s="3"/>
      <c r="AT88" s="3"/>
      <c r="AU88" s="3"/>
      <c r="AV88" s="3">
        <v>67055</v>
      </c>
      <c r="AW88" s="3"/>
      <c r="AX88" s="3">
        <v>1987</v>
      </c>
      <c r="AY88" s="3"/>
      <c r="AZ88" s="3">
        <f t="shared" si="5"/>
        <v>11750288</v>
      </c>
      <c r="BA88" s="3"/>
      <c r="BB88" s="3">
        <v>0</v>
      </c>
      <c r="BC88" s="3"/>
      <c r="BD88" s="3"/>
      <c r="BE88" s="3"/>
      <c r="BF88" s="3"/>
      <c r="BG88" s="3"/>
      <c r="BH88" s="3">
        <v>0</v>
      </c>
      <c r="BI88" s="13" t="s">
        <v>296</v>
      </c>
      <c r="BK88" s="13" t="s">
        <v>169</v>
      </c>
      <c r="BL88" s="3"/>
      <c r="BM88" s="3">
        <f t="shared" si="4"/>
        <v>11750288</v>
      </c>
      <c r="BN88" s="3"/>
      <c r="BO88" s="3">
        <f>GenRev!AU88-BM88</f>
        <v>-357781</v>
      </c>
      <c r="BP88" s="3"/>
      <c r="BQ88" s="3">
        <v>1764957</v>
      </c>
      <c r="BR88" s="3"/>
      <c r="BS88" s="3">
        <v>0</v>
      </c>
      <c r="BT88" s="3"/>
      <c r="BU88" s="3">
        <f t="shared" si="6"/>
        <v>1407176</v>
      </c>
      <c r="BV88" s="3"/>
      <c r="BW88" s="14">
        <f>+BU88-GenBS!AC88</f>
        <v>0</v>
      </c>
    </row>
    <row r="89" spans="1:75" s="13" customFormat="1">
      <c r="A89" s="13" t="s">
        <v>297</v>
      </c>
      <c r="C89" s="13" t="s">
        <v>170</v>
      </c>
      <c r="E89" s="3">
        <v>0</v>
      </c>
      <c r="F89" s="3"/>
      <c r="G89" s="3">
        <v>7746789</v>
      </c>
      <c r="H89" s="3"/>
      <c r="I89" s="3">
        <v>49157</v>
      </c>
      <c r="J89" s="3"/>
      <c r="K89" s="3">
        <v>0</v>
      </c>
      <c r="L89" s="3"/>
      <c r="M89" s="3">
        <v>0</v>
      </c>
      <c r="N89" s="3"/>
      <c r="O89" s="3">
        <v>7648215</v>
      </c>
      <c r="P89" s="3"/>
      <c r="Q89" s="3">
        <v>4921228</v>
      </c>
      <c r="R89" s="3"/>
      <c r="S89" s="3">
        <v>29794</v>
      </c>
      <c r="T89" s="3"/>
      <c r="U89" s="3">
        <v>2119235</v>
      </c>
      <c r="V89" s="3"/>
      <c r="W89" s="3">
        <v>677123</v>
      </c>
      <c r="X89" s="3"/>
      <c r="Y89" s="3">
        <v>436034</v>
      </c>
      <c r="Z89" s="3"/>
      <c r="AA89" s="3">
        <v>295658</v>
      </c>
      <c r="AB89" s="13" t="s">
        <v>297</v>
      </c>
      <c r="AD89" s="13" t="s">
        <v>170</v>
      </c>
      <c r="AF89" s="3">
        <v>0</v>
      </c>
      <c r="AG89" s="3"/>
      <c r="AH89" s="3">
        <v>819223</v>
      </c>
      <c r="AI89" s="3"/>
      <c r="AJ89" s="3"/>
      <c r="AK89" s="3"/>
      <c r="AL89" s="3">
        <v>0</v>
      </c>
      <c r="AM89" s="3"/>
      <c r="AN89" s="3">
        <v>5948152</v>
      </c>
      <c r="AO89" s="3"/>
      <c r="AP89" s="3">
        <v>0</v>
      </c>
      <c r="AQ89" s="3"/>
      <c r="AR89" s="3">
        <v>4316</v>
      </c>
      <c r="AS89" s="3"/>
      <c r="AT89" s="3"/>
      <c r="AU89" s="3"/>
      <c r="AV89" s="3">
        <v>45000</v>
      </c>
      <c r="AW89" s="3"/>
      <c r="AX89" s="3">
        <v>102323</v>
      </c>
      <c r="AY89" s="3"/>
      <c r="AZ89" s="3">
        <f t="shared" si="5"/>
        <v>30842247</v>
      </c>
      <c r="BA89" s="3"/>
      <c r="BB89" s="3">
        <v>0</v>
      </c>
      <c r="BC89" s="3"/>
      <c r="BD89" s="3"/>
      <c r="BE89" s="3"/>
      <c r="BF89" s="3"/>
      <c r="BG89" s="3"/>
      <c r="BH89" s="3">
        <v>0</v>
      </c>
      <c r="BI89" s="13" t="s">
        <v>297</v>
      </c>
      <c r="BK89" s="13" t="s">
        <v>170</v>
      </c>
      <c r="BL89" s="3"/>
      <c r="BM89" s="3">
        <f t="shared" si="4"/>
        <v>30842247</v>
      </c>
      <c r="BN89" s="3"/>
      <c r="BO89" s="3">
        <f>GenRev!AU89-BM89</f>
        <v>700972</v>
      </c>
      <c r="BP89" s="3"/>
      <c r="BQ89" s="3">
        <v>5459728</v>
      </c>
      <c r="BR89" s="3"/>
      <c r="BS89" s="3">
        <v>0</v>
      </c>
      <c r="BT89" s="3"/>
      <c r="BU89" s="3">
        <f t="shared" si="6"/>
        <v>6160700</v>
      </c>
      <c r="BV89" s="3"/>
      <c r="BW89" s="14">
        <f>+BU89-GenBS!AC89</f>
        <v>0</v>
      </c>
    </row>
    <row r="90" spans="1:75" s="13" customFormat="1">
      <c r="A90" s="13" t="s">
        <v>298</v>
      </c>
      <c r="C90" s="13" t="s">
        <v>171</v>
      </c>
      <c r="E90" s="3">
        <v>78633</v>
      </c>
      <c r="F90" s="3"/>
      <c r="G90" s="3">
        <v>1462982</v>
      </c>
      <c r="H90" s="3"/>
      <c r="I90" s="3">
        <v>0</v>
      </c>
      <c r="J90" s="3"/>
      <c r="K90" s="3">
        <v>0</v>
      </c>
      <c r="L90" s="3"/>
      <c r="M90" s="3">
        <v>0</v>
      </c>
      <c r="N90" s="3"/>
      <c r="O90" s="3">
        <v>1273174</v>
      </c>
      <c r="P90" s="3"/>
      <c r="Q90" s="3">
        <v>1760912</v>
      </c>
      <c r="R90" s="3"/>
      <c r="S90" s="3">
        <v>46669</v>
      </c>
      <c r="T90" s="3"/>
      <c r="U90" s="3">
        <v>559691</v>
      </c>
      <c r="V90" s="3"/>
      <c r="W90" s="3">
        <v>225029</v>
      </c>
      <c r="X90" s="3"/>
      <c r="Y90" s="3">
        <v>0</v>
      </c>
      <c r="Z90" s="3"/>
      <c r="AA90" s="3">
        <v>80398</v>
      </c>
      <c r="AB90" s="13" t="s">
        <v>298</v>
      </c>
      <c r="AD90" s="13" t="s">
        <v>171</v>
      </c>
      <c r="AF90" s="3">
        <v>89846</v>
      </c>
      <c r="AG90" s="3"/>
      <c r="AH90" s="3">
        <v>4740</v>
      </c>
      <c r="AI90" s="3"/>
      <c r="AJ90" s="3"/>
      <c r="AK90" s="3"/>
      <c r="AL90" s="3">
        <v>0</v>
      </c>
      <c r="AM90" s="3"/>
      <c r="AN90" s="3">
        <v>4908</v>
      </c>
      <c r="AO90" s="3"/>
      <c r="AP90" s="3">
        <v>1129</v>
      </c>
      <c r="AQ90" s="3"/>
      <c r="AR90" s="3">
        <v>0</v>
      </c>
      <c r="AS90" s="3"/>
      <c r="AT90" s="3"/>
      <c r="AU90" s="3"/>
      <c r="AV90" s="3">
        <v>0</v>
      </c>
      <c r="AW90" s="3"/>
      <c r="AX90" s="3">
        <v>0</v>
      </c>
      <c r="AY90" s="3"/>
      <c r="AZ90" s="3">
        <f t="shared" si="5"/>
        <v>5588111</v>
      </c>
      <c r="BA90" s="3"/>
      <c r="BB90" s="3">
        <v>0</v>
      </c>
      <c r="BC90" s="3"/>
      <c r="BD90" s="3"/>
      <c r="BE90" s="3"/>
      <c r="BF90" s="3"/>
      <c r="BG90" s="3"/>
      <c r="BH90" s="3">
        <v>0</v>
      </c>
      <c r="BI90" s="13" t="s">
        <v>298</v>
      </c>
      <c r="BK90" s="13" t="s">
        <v>171</v>
      </c>
      <c r="BL90" s="3"/>
      <c r="BM90" s="3">
        <f t="shared" si="4"/>
        <v>5588111</v>
      </c>
      <c r="BN90" s="3"/>
      <c r="BO90" s="3">
        <f>GenRev!AU90-BM90</f>
        <v>44180</v>
      </c>
      <c r="BP90" s="3"/>
      <c r="BQ90" s="3">
        <v>349769</v>
      </c>
      <c r="BR90" s="3"/>
      <c r="BS90" s="3">
        <v>0</v>
      </c>
      <c r="BT90" s="3"/>
      <c r="BU90" s="3">
        <f t="shared" si="6"/>
        <v>393949</v>
      </c>
      <c r="BV90" s="3"/>
      <c r="BW90" s="14">
        <f>+BU90-GenBS!AC90</f>
        <v>0</v>
      </c>
    </row>
    <row r="91" spans="1:75" s="13" customFormat="1" hidden="1">
      <c r="A91" s="13" t="s">
        <v>357</v>
      </c>
      <c r="C91" s="13" t="s">
        <v>21</v>
      </c>
      <c r="E91" s="3">
        <v>0</v>
      </c>
      <c r="F91" s="3"/>
      <c r="G91" s="3">
        <v>0</v>
      </c>
      <c r="H91" s="3"/>
      <c r="I91" s="3">
        <v>0</v>
      </c>
      <c r="J91" s="3"/>
      <c r="K91" s="3">
        <v>0</v>
      </c>
      <c r="L91" s="3"/>
      <c r="M91" s="3">
        <v>0</v>
      </c>
      <c r="N91" s="3"/>
      <c r="O91" s="3">
        <v>0</v>
      </c>
      <c r="P91" s="3"/>
      <c r="Q91" s="3">
        <v>0</v>
      </c>
      <c r="R91" s="3"/>
      <c r="S91" s="3">
        <v>0</v>
      </c>
      <c r="T91" s="3"/>
      <c r="U91" s="3">
        <v>0</v>
      </c>
      <c r="V91" s="3"/>
      <c r="W91" s="3">
        <v>0</v>
      </c>
      <c r="X91" s="3"/>
      <c r="Y91" s="3">
        <v>0</v>
      </c>
      <c r="Z91" s="3"/>
      <c r="AA91" s="3">
        <v>0</v>
      </c>
      <c r="AB91" s="13" t="s">
        <v>357</v>
      </c>
      <c r="AD91" s="13" t="s">
        <v>21</v>
      </c>
      <c r="AF91" s="3">
        <v>0</v>
      </c>
      <c r="AG91" s="3"/>
      <c r="AH91" s="3">
        <v>0</v>
      </c>
      <c r="AI91" s="3"/>
      <c r="AJ91" s="3"/>
      <c r="AK91" s="3"/>
      <c r="AL91" s="3">
        <v>0</v>
      </c>
      <c r="AM91" s="3"/>
      <c r="AN91" s="3">
        <v>0</v>
      </c>
      <c r="AO91" s="3"/>
      <c r="AP91" s="3">
        <v>0</v>
      </c>
      <c r="AQ91" s="3"/>
      <c r="AR91" s="3">
        <v>0</v>
      </c>
      <c r="AS91" s="3"/>
      <c r="AT91" s="3"/>
      <c r="AU91" s="3"/>
      <c r="AV91" s="3">
        <v>0</v>
      </c>
      <c r="AW91" s="3"/>
      <c r="AX91" s="3">
        <v>0</v>
      </c>
      <c r="AY91" s="3"/>
      <c r="AZ91" s="3">
        <f t="shared" si="5"/>
        <v>0</v>
      </c>
      <c r="BA91" s="3"/>
      <c r="BB91" s="3">
        <v>0</v>
      </c>
      <c r="BC91" s="3"/>
      <c r="BD91" s="3"/>
      <c r="BE91" s="3"/>
      <c r="BF91" s="3"/>
      <c r="BG91" s="3"/>
      <c r="BH91" s="3">
        <v>0</v>
      </c>
      <c r="BI91" s="13" t="s">
        <v>357</v>
      </c>
      <c r="BK91" s="13" t="s">
        <v>21</v>
      </c>
      <c r="BL91" s="3"/>
      <c r="BM91" s="3">
        <f t="shared" si="4"/>
        <v>0</v>
      </c>
      <c r="BN91" s="3"/>
      <c r="BO91" s="3">
        <f>GenRev!AU91-BM91</f>
        <v>0</v>
      </c>
      <c r="BP91" s="3"/>
      <c r="BQ91" s="3"/>
      <c r="BR91" s="3"/>
      <c r="BS91" s="3">
        <v>0</v>
      </c>
      <c r="BT91" s="3"/>
      <c r="BU91" s="3">
        <f t="shared" si="6"/>
        <v>0</v>
      </c>
      <c r="BV91" s="3"/>
      <c r="BW91" s="14">
        <f>+BU91-GenBS!AC91</f>
        <v>0</v>
      </c>
    </row>
    <row r="92" spans="1:75" s="13" customFormat="1">
      <c r="A92" s="13" t="s">
        <v>299</v>
      </c>
      <c r="C92" s="13" t="s">
        <v>172</v>
      </c>
      <c r="E92" s="3">
        <v>809355</v>
      </c>
      <c r="F92" s="3"/>
      <c r="G92" s="3">
        <v>660168</v>
      </c>
      <c r="H92" s="3"/>
      <c r="I92" s="3">
        <v>0</v>
      </c>
      <c r="J92" s="3"/>
      <c r="K92" s="3">
        <v>0</v>
      </c>
      <c r="L92" s="3"/>
      <c r="M92" s="3">
        <v>6400</v>
      </c>
      <c r="N92" s="3"/>
      <c r="O92" s="3">
        <v>1337177</v>
      </c>
      <c r="P92" s="3"/>
      <c r="Q92" s="3">
        <v>1877953</v>
      </c>
      <c r="R92" s="3"/>
      <c r="S92" s="3">
        <v>17129</v>
      </c>
      <c r="T92" s="3"/>
      <c r="U92" s="3">
        <v>839723</v>
      </c>
      <c r="V92" s="3"/>
      <c r="W92" s="3">
        <v>295311</v>
      </c>
      <c r="X92" s="3"/>
      <c r="Y92" s="3">
        <v>0</v>
      </c>
      <c r="Z92" s="3"/>
      <c r="AA92" s="3">
        <v>26434</v>
      </c>
      <c r="AB92" s="13" t="s">
        <v>299</v>
      </c>
      <c r="AD92" s="13" t="s">
        <v>172</v>
      </c>
      <c r="AF92" s="3">
        <v>0</v>
      </c>
      <c r="AG92" s="3"/>
      <c r="AH92" s="3">
        <v>0</v>
      </c>
      <c r="AI92" s="3"/>
      <c r="AJ92" s="3"/>
      <c r="AK92" s="3"/>
      <c r="AL92" s="3">
        <v>0</v>
      </c>
      <c r="AM92" s="3"/>
      <c r="AN92" s="3">
        <v>0</v>
      </c>
      <c r="AO92" s="3"/>
      <c r="AP92" s="3">
        <v>0</v>
      </c>
      <c r="AQ92" s="3"/>
      <c r="AR92" s="3">
        <v>0</v>
      </c>
      <c r="AS92" s="3"/>
      <c r="AT92" s="3"/>
      <c r="AU92" s="3"/>
      <c r="AV92" s="3">
        <v>3591</v>
      </c>
      <c r="AW92" s="3"/>
      <c r="AX92" s="3">
        <v>640</v>
      </c>
      <c r="AY92" s="3"/>
      <c r="AZ92" s="3">
        <f t="shared" si="5"/>
        <v>5873881</v>
      </c>
      <c r="BA92" s="3"/>
      <c r="BB92" s="3">
        <v>0</v>
      </c>
      <c r="BC92" s="3"/>
      <c r="BD92" s="3"/>
      <c r="BE92" s="3"/>
      <c r="BF92" s="3"/>
      <c r="BG92" s="3"/>
      <c r="BH92" s="3">
        <v>0</v>
      </c>
      <c r="BI92" s="13" t="s">
        <v>299</v>
      </c>
      <c r="BK92" s="13" t="s">
        <v>172</v>
      </c>
      <c r="BL92" s="3"/>
      <c r="BM92" s="3">
        <f t="shared" si="4"/>
        <v>5873881</v>
      </c>
      <c r="BN92" s="3"/>
      <c r="BO92" s="3">
        <f>GenRev!AU92-BM92</f>
        <v>-545029</v>
      </c>
      <c r="BP92" s="3"/>
      <c r="BQ92" s="3">
        <v>3015670</v>
      </c>
      <c r="BR92" s="3"/>
      <c r="BS92" s="3">
        <v>0</v>
      </c>
      <c r="BT92" s="3"/>
      <c r="BU92" s="3">
        <f t="shared" si="6"/>
        <v>2470641</v>
      </c>
      <c r="BV92" s="3"/>
      <c r="BW92" s="14">
        <f>+BU92-GenBS!AC92</f>
        <v>0</v>
      </c>
    </row>
    <row r="93" spans="1:75" s="13" customFormat="1">
      <c r="A93" s="13" t="s">
        <v>300</v>
      </c>
      <c r="C93" s="13" t="s">
        <v>173</v>
      </c>
      <c r="E93" s="3">
        <v>43324</v>
      </c>
      <c r="F93" s="3"/>
      <c r="G93" s="3">
        <v>3528734</v>
      </c>
      <c r="H93" s="3"/>
      <c r="I93" s="3">
        <v>0</v>
      </c>
      <c r="J93" s="3"/>
      <c r="K93" s="3">
        <v>0</v>
      </c>
      <c r="L93" s="3"/>
      <c r="M93" s="3">
        <v>0</v>
      </c>
      <c r="N93" s="3"/>
      <c r="O93" s="3">
        <v>690615</v>
      </c>
      <c r="P93" s="3"/>
      <c r="Q93" s="3">
        <v>503568</v>
      </c>
      <c r="R93" s="3"/>
      <c r="S93" s="3">
        <v>23427</v>
      </c>
      <c r="T93" s="3"/>
      <c r="U93" s="3">
        <v>532334</v>
      </c>
      <c r="V93" s="3"/>
      <c r="W93" s="3">
        <v>93590</v>
      </c>
      <c r="X93" s="3"/>
      <c r="Y93" s="3">
        <v>0</v>
      </c>
      <c r="Z93" s="3"/>
      <c r="AA93" s="3">
        <v>35357</v>
      </c>
      <c r="AB93" s="13" t="s">
        <v>300</v>
      </c>
      <c r="AD93" s="13" t="s">
        <v>173</v>
      </c>
      <c r="AF93" s="3">
        <v>0</v>
      </c>
      <c r="AG93" s="3"/>
      <c r="AH93" s="3">
        <v>2335</v>
      </c>
      <c r="AI93" s="3"/>
      <c r="AJ93" s="3"/>
      <c r="AK93" s="3"/>
      <c r="AL93" s="3">
        <v>0</v>
      </c>
      <c r="AM93" s="3"/>
      <c r="AN93" s="3">
        <v>0</v>
      </c>
      <c r="AO93" s="3"/>
      <c r="AP93" s="3">
        <v>0</v>
      </c>
      <c r="AQ93" s="3"/>
      <c r="AR93" s="3">
        <v>0</v>
      </c>
      <c r="AS93" s="3"/>
      <c r="AT93" s="3"/>
      <c r="AU93" s="3"/>
      <c r="AV93" s="3">
        <v>0</v>
      </c>
      <c r="AW93" s="3"/>
      <c r="AX93" s="3">
        <v>0</v>
      </c>
      <c r="AY93" s="3"/>
      <c r="AZ93" s="3">
        <f t="shared" si="5"/>
        <v>5453284</v>
      </c>
      <c r="BA93" s="3"/>
      <c r="BB93" s="3">
        <v>0</v>
      </c>
      <c r="BC93" s="3"/>
      <c r="BD93" s="3"/>
      <c r="BE93" s="3"/>
      <c r="BF93" s="3"/>
      <c r="BG93" s="3"/>
      <c r="BH93" s="3">
        <v>0</v>
      </c>
      <c r="BI93" s="13" t="s">
        <v>300</v>
      </c>
      <c r="BK93" s="13" t="s">
        <v>173</v>
      </c>
      <c r="BL93" s="3"/>
      <c r="BM93" s="3">
        <f t="shared" si="4"/>
        <v>5453284</v>
      </c>
      <c r="BN93" s="3"/>
      <c r="BO93" s="3">
        <f>GenRev!AU93-BM93</f>
        <v>-87282</v>
      </c>
      <c r="BP93" s="3"/>
      <c r="BQ93" s="3">
        <v>-303624</v>
      </c>
      <c r="BR93" s="3"/>
      <c r="BS93" s="3">
        <v>0</v>
      </c>
      <c r="BT93" s="3"/>
      <c r="BU93" s="3">
        <f t="shared" si="6"/>
        <v>-390906</v>
      </c>
      <c r="BV93" s="3"/>
      <c r="BW93" s="14">
        <f>+BU93-GenBS!AC93</f>
        <v>0</v>
      </c>
    </row>
    <row r="94" spans="1:75" s="13" customFormat="1">
      <c r="A94" s="13" t="s">
        <v>301</v>
      </c>
      <c r="C94" s="13" t="s">
        <v>148</v>
      </c>
      <c r="E94" s="3">
        <v>727411</v>
      </c>
      <c r="F94" s="3"/>
      <c r="G94" s="3">
        <v>2824572</v>
      </c>
      <c r="H94" s="3"/>
      <c r="I94" s="3">
        <v>137998</v>
      </c>
      <c r="J94" s="3"/>
      <c r="K94" s="3">
        <v>0</v>
      </c>
      <c r="L94" s="3"/>
      <c r="M94" s="3">
        <v>183641</v>
      </c>
      <c r="N94" s="3"/>
      <c r="O94" s="3">
        <v>3241498</v>
      </c>
      <c r="P94" s="3"/>
      <c r="Q94" s="3">
        <v>1085399</v>
      </c>
      <c r="R94" s="3"/>
      <c r="S94" s="3">
        <v>15040</v>
      </c>
      <c r="T94" s="3"/>
      <c r="U94" s="3">
        <v>1535821</v>
      </c>
      <c r="V94" s="3"/>
      <c r="W94" s="3">
        <v>223431</v>
      </c>
      <c r="X94" s="3"/>
      <c r="Y94" s="3">
        <v>0</v>
      </c>
      <c r="Z94" s="3"/>
      <c r="AA94" s="3">
        <v>118697</v>
      </c>
      <c r="AB94" s="13" t="s">
        <v>301</v>
      </c>
      <c r="AD94" s="13" t="s">
        <v>148</v>
      </c>
      <c r="AF94" s="3">
        <v>169312</v>
      </c>
      <c r="AG94" s="3"/>
      <c r="AH94" s="3">
        <v>749496</v>
      </c>
      <c r="AI94" s="3"/>
      <c r="AJ94" s="3"/>
      <c r="AK94" s="3"/>
      <c r="AL94" s="3">
        <v>0</v>
      </c>
      <c r="AM94" s="3"/>
      <c r="AN94" s="3">
        <v>4623</v>
      </c>
      <c r="AO94" s="3"/>
      <c r="AP94" s="3">
        <v>0</v>
      </c>
      <c r="AQ94" s="3"/>
      <c r="AR94" s="3">
        <v>0</v>
      </c>
      <c r="AS94" s="3"/>
      <c r="AT94" s="3"/>
      <c r="AU94" s="3"/>
      <c r="AV94" s="3">
        <v>0</v>
      </c>
      <c r="AW94" s="3"/>
      <c r="AX94" s="3">
        <v>0</v>
      </c>
      <c r="AY94" s="3"/>
      <c r="AZ94" s="3">
        <f t="shared" si="5"/>
        <v>11016939</v>
      </c>
      <c r="BA94" s="3"/>
      <c r="BB94" s="3">
        <v>4401</v>
      </c>
      <c r="BC94" s="3"/>
      <c r="BD94" s="3"/>
      <c r="BE94" s="3"/>
      <c r="BF94" s="3"/>
      <c r="BG94" s="3"/>
      <c r="BH94" s="3">
        <v>0</v>
      </c>
      <c r="BI94" s="13" t="s">
        <v>301</v>
      </c>
      <c r="BK94" s="13" t="s">
        <v>148</v>
      </c>
      <c r="BL94" s="3"/>
      <c r="BM94" s="3">
        <f t="shared" si="4"/>
        <v>11021340</v>
      </c>
      <c r="BN94" s="3"/>
      <c r="BO94" s="3">
        <f>GenRev!AU94-BM94</f>
        <v>164258</v>
      </c>
      <c r="BP94" s="3"/>
      <c r="BQ94" s="3">
        <v>988394</v>
      </c>
      <c r="BR94" s="3"/>
      <c r="BS94" s="3">
        <v>0</v>
      </c>
      <c r="BT94" s="3"/>
      <c r="BU94" s="3">
        <f t="shared" si="6"/>
        <v>1152652</v>
      </c>
      <c r="BV94" s="3"/>
      <c r="BW94" s="14">
        <f>+BU94-GenBS!AC94</f>
        <v>0</v>
      </c>
    </row>
    <row r="95" spans="1:75" s="13" customFormat="1">
      <c r="A95" s="13" t="s">
        <v>302</v>
      </c>
      <c r="C95" s="13" t="s">
        <v>174</v>
      </c>
      <c r="E95" s="3">
        <v>6536</v>
      </c>
      <c r="F95" s="3"/>
      <c r="G95" s="3">
        <v>289368</v>
      </c>
      <c r="H95" s="3"/>
      <c r="I95" s="3">
        <v>0</v>
      </c>
      <c r="J95" s="3"/>
      <c r="K95" s="3">
        <v>0</v>
      </c>
      <c r="L95" s="3"/>
      <c r="M95" s="3">
        <v>0</v>
      </c>
      <c r="N95" s="3"/>
      <c r="O95" s="3">
        <v>386130</v>
      </c>
      <c r="P95" s="3"/>
      <c r="Q95" s="3">
        <v>511020</v>
      </c>
      <c r="R95" s="3"/>
      <c r="S95" s="3">
        <v>60583</v>
      </c>
      <c r="T95" s="3"/>
      <c r="U95" s="3">
        <v>205162</v>
      </c>
      <c r="V95" s="3"/>
      <c r="W95" s="3">
        <v>159651</v>
      </c>
      <c r="X95" s="3"/>
      <c r="Y95" s="3">
        <v>0</v>
      </c>
      <c r="Z95" s="3"/>
      <c r="AA95" s="3">
        <v>11246</v>
      </c>
      <c r="AB95" s="13" t="s">
        <v>302</v>
      </c>
      <c r="AD95" s="13" t="s">
        <v>174</v>
      </c>
      <c r="AF95" s="3">
        <v>0</v>
      </c>
      <c r="AG95" s="3"/>
      <c r="AH95" s="3">
        <v>183628</v>
      </c>
      <c r="AI95" s="3"/>
      <c r="AJ95" s="3"/>
      <c r="AK95" s="3"/>
      <c r="AL95" s="3">
        <v>0</v>
      </c>
      <c r="AM95" s="3"/>
      <c r="AN95" s="3">
        <v>0</v>
      </c>
      <c r="AO95" s="3"/>
      <c r="AP95" s="3">
        <v>0</v>
      </c>
      <c r="AQ95" s="3"/>
      <c r="AR95" s="3">
        <v>0</v>
      </c>
      <c r="AS95" s="3"/>
      <c r="AT95" s="3"/>
      <c r="AU95" s="3"/>
      <c r="AV95" s="3">
        <v>0</v>
      </c>
      <c r="AW95" s="3"/>
      <c r="AX95" s="3">
        <v>0</v>
      </c>
      <c r="AY95" s="3"/>
      <c r="AZ95" s="3">
        <f t="shared" si="5"/>
        <v>1813324</v>
      </c>
      <c r="BA95" s="3"/>
      <c r="BB95" s="3">
        <v>0</v>
      </c>
      <c r="BC95" s="3"/>
      <c r="BD95" s="3"/>
      <c r="BE95" s="3"/>
      <c r="BF95" s="3"/>
      <c r="BG95" s="3"/>
      <c r="BH95" s="3">
        <v>0</v>
      </c>
      <c r="BI95" s="13" t="s">
        <v>302</v>
      </c>
      <c r="BK95" s="13" t="s">
        <v>174</v>
      </c>
      <c r="BL95" s="3"/>
      <c r="BM95" s="3">
        <f t="shared" si="4"/>
        <v>1813324</v>
      </c>
      <c r="BN95" s="3"/>
      <c r="BO95" s="3">
        <f>GenRev!AU95-BM95</f>
        <v>315225</v>
      </c>
      <c r="BP95" s="3"/>
      <c r="BQ95" s="3">
        <v>605922</v>
      </c>
      <c r="BR95" s="3"/>
      <c r="BS95" s="3">
        <v>0</v>
      </c>
      <c r="BT95" s="3"/>
      <c r="BU95" s="3">
        <f t="shared" si="6"/>
        <v>921147</v>
      </c>
      <c r="BV95" s="3"/>
      <c r="BW95" s="14">
        <f>+BU95-GenBS!AC95</f>
        <v>0</v>
      </c>
    </row>
    <row r="96" spans="1:75" s="13" customFormat="1">
      <c r="A96" s="3" t="s">
        <v>303</v>
      </c>
      <c r="B96" s="3"/>
      <c r="C96" s="3" t="s">
        <v>175</v>
      </c>
      <c r="E96" s="3">
        <v>0</v>
      </c>
      <c r="F96" s="3"/>
      <c r="G96" s="3">
        <v>2764562</v>
      </c>
      <c r="H96" s="3"/>
      <c r="I96" s="3">
        <v>0</v>
      </c>
      <c r="J96" s="3"/>
      <c r="K96" s="3">
        <v>0</v>
      </c>
      <c r="L96" s="3"/>
      <c r="M96" s="3">
        <v>0</v>
      </c>
      <c r="N96" s="3"/>
      <c r="O96" s="3">
        <v>1636209</v>
      </c>
      <c r="P96" s="3"/>
      <c r="Q96" s="3">
        <v>3730117</v>
      </c>
      <c r="R96" s="3"/>
      <c r="S96" s="3">
        <v>11317</v>
      </c>
      <c r="T96" s="3"/>
      <c r="U96" s="3">
        <v>770685</v>
      </c>
      <c r="V96" s="3"/>
      <c r="W96" s="3">
        <v>250045</v>
      </c>
      <c r="X96" s="3"/>
      <c r="Y96" s="3">
        <v>7059</v>
      </c>
      <c r="Z96" s="3"/>
      <c r="AA96" s="3">
        <v>93754</v>
      </c>
      <c r="AB96" s="3" t="s">
        <v>303</v>
      </c>
      <c r="AC96" s="3"/>
      <c r="AD96" s="3" t="s">
        <v>175</v>
      </c>
      <c r="AE96" s="3"/>
      <c r="AF96" s="3">
        <v>0</v>
      </c>
      <c r="AG96" s="3"/>
      <c r="AH96" s="3">
        <v>338047</v>
      </c>
      <c r="AI96" s="3"/>
      <c r="AJ96" s="3"/>
      <c r="AK96" s="3"/>
      <c r="AL96" s="3">
        <v>0</v>
      </c>
      <c r="AM96" s="3"/>
      <c r="AN96" s="3">
        <v>0</v>
      </c>
      <c r="AO96" s="3"/>
      <c r="AP96" s="3">
        <v>0</v>
      </c>
      <c r="AQ96" s="3"/>
      <c r="AR96" s="3">
        <v>0</v>
      </c>
      <c r="AS96" s="3"/>
      <c r="AT96" s="3"/>
      <c r="AU96" s="3"/>
      <c r="AV96" s="3">
        <v>14265</v>
      </c>
      <c r="AW96" s="3"/>
      <c r="AX96" s="3">
        <v>2884</v>
      </c>
      <c r="AY96" s="3"/>
      <c r="AZ96" s="3">
        <f t="shared" si="5"/>
        <v>9618944</v>
      </c>
      <c r="BA96" s="3"/>
      <c r="BB96" s="3">
        <v>0</v>
      </c>
      <c r="BC96" s="3"/>
      <c r="BD96" s="3"/>
      <c r="BE96" s="3"/>
      <c r="BF96" s="3"/>
      <c r="BG96" s="3"/>
      <c r="BH96" s="3">
        <v>0</v>
      </c>
      <c r="BI96" s="3" t="s">
        <v>303</v>
      </c>
      <c r="BJ96" s="3"/>
      <c r="BK96" s="3" t="s">
        <v>175</v>
      </c>
      <c r="BL96" s="3"/>
      <c r="BM96" s="3">
        <f t="shared" si="4"/>
        <v>9618944</v>
      </c>
      <c r="BN96" s="3"/>
      <c r="BO96" s="3">
        <f>GenRev!AU96-BM96</f>
        <v>-581656</v>
      </c>
      <c r="BP96" s="3"/>
      <c r="BQ96" s="3">
        <v>128559</v>
      </c>
      <c r="BR96" s="3"/>
      <c r="BS96" s="3">
        <v>0</v>
      </c>
      <c r="BT96" s="3"/>
      <c r="BU96" s="3">
        <f t="shared" si="6"/>
        <v>-453097</v>
      </c>
      <c r="BV96" s="3"/>
      <c r="BW96" s="14">
        <f>+BU96-GenBS!AC96</f>
        <v>0</v>
      </c>
    </row>
    <row r="97" spans="1:75" s="13" customFormat="1">
      <c r="A97" s="13" t="s">
        <v>304</v>
      </c>
      <c r="C97" s="13" t="s">
        <v>176</v>
      </c>
      <c r="E97" s="3">
        <v>0</v>
      </c>
      <c r="F97" s="3"/>
      <c r="G97" s="3">
        <v>1267913</v>
      </c>
      <c r="H97" s="3"/>
      <c r="I97" s="3">
        <v>0</v>
      </c>
      <c r="J97" s="3"/>
      <c r="K97" s="3">
        <v>0</v>
      </c>
      <c r="L97" s="3"/>
      <c r="M97" s="3">
        <v>0</v>
      </c>
      <c r="N97" s="3"/>
      <c r="O97" s="3">
        <v>413251</v>
      </c>
      <c r="P97" s="3"/>
      <c r="Q97" s="3">
        <v>164527</v>
      </c>
      <c r="R97" s="3"/>
      <c r="S97" s="3">
        <v>9292</v>
      </c>
      <c r="T97" s="3"/>
      <c r="U97" s="3">
        <v>214096</v>
      </c>
      <c r="V97" s="3"/>
      <c r="W97" s="3">
        <v>356688</v>
      </c>
      <c r="X97" s="3"/>
      <c r="Y97" s="3">
        <v>0</v>
      </c>
      <c r="Z97" s="3"/>
      <c r="AA97" s="3">
        <v>25870</v>
      </c>
      <c r="AB97" s="13" t="s">
        <v>304</v>
      </c>
      <c r="AD97" s="13" t="s">
        <v>176</v>
      </c>
      <c r="AF97" s="3">
        <v>0</v>
      </c>
      <c r="AG97" s="3"/>
      <c r="AH97" s="3">
        <v>26966</v>
      </c>
      <c r="AI97" s="3"/>
      <c r="AJ97" s="3"/>
      <c r="AK97" s="3"/>
      <c r="AL97" s="3">
        <v>0</v>
      </c>
      <c r="AM97" s="3"/>
      <c r="AN97" s="3">
        <v>60049</v>
      </c>
      <c r="AO97" s="3"/>
      <c r="AP97" s="3">
        <v>0</v>
      </c>
      <c r="AQ97" s="3"/>
      <c r="AR97" s="3">
        <v>0</v>
      </c>
      <c r="AS97" s="3"/>
      <c r="AT97" s="3"/>
      <c r="AU97" s="3"/>
      <c r="AV97" s="3">
        <v>0</v>
      </c>
      <c r="AW97" s="3"/>
      <c r="AX97" s="3">
        <v>0</v>
      </c>
      <c r="AY97" s="3"/>
      <c r="AZ97" s="3">
        <f t="shared" si="5"/>
        <v>2538652</v>
      </c>
      <c r="BA97" s="3"/>
      <c r="BB97" s="3">
        <v>0</v>
      </c>
      <c r="BC97" s="3"/>
      <c r="BD97" s="3"/>
      <c r="BE97" s="3"/>
      <c r="BF97" s="3"/>
      <c r="BG97" s="3"/>
      <c r="BH97" s="3">
        <v>0</v>
      </c>
      <c r="BI97" s="13" t="s">
        <v>304</v>
      </c>
      <c r="BK97" s="13" t="s">
        <v>176</v>
      </c>
      <c r="BL97" s="3"/>
      <c r="BM97" s="3">
        <f t="shared" si="4"/>
        <v>2538652</v>
      </c>
      <c r="BN97" s="3"/>
      <c r="BO97" s="3">
        <f>GenRev!AU97-BM97</f>
        <v>-57320</v>
      </c>
      <c r="BP97" s="3"/>
      <c r="BQ97" s="3">
        <v>396942</v>
      </c>
      <c r="BR97" s="3"/>
      <c r="BS97" s="3">
        <v>0</v>
      </c>
      <c r="BT97" s="3"/>
      <c r="BU97" s="3">
        <f t="shared" si="6"/>
        <v>339622</v>
      </c>
      <c r="BV97" s="3"/>
      <c r="BW97" s="14">
        <f>+BU97-GenBS!AC97</f>
        <v>0</v>
      </c>
    </row>
    <row r="98" spans="1:75" s="13" customFormat="1">
      <c r="A98" s="13" t="s">
        <v>359</v>
      </c>
      <c r="C98" s="13" t="s">
        <v>144</v>
      </c>
      <c r="E98" s="3">
        <v>932487</v>
      </c>
      <c r="F98" s="3"/>
      <c r="G98" s="3">
        <v>1279591</v>
      </c>
      <c r="H98" s="3"/>
      <c r="I98" s="3">
        <v>0</v>
      </c>
      <c r="J98" s="3"/>
      <c r="K98" s="3">
        <v>0</v>
      </c>
      <c r="L98" s="3"/>
      <c r="M98" s="3">
        <v>0</v>
      </c>
      <c r="N98" s="3"/>
      <c r="O98" s="3">
        <v>1680769</v>
      </c>
      <c r="P98" s="3"/>
      <c r="Q98" s="3">
        <v>3527838</v>
      </c>
      <c r="R98" s="3"/>
      <c r="S98" s="3">
        <v>72087</v>
      </c>
      <c r="T98" s="3"/>
      <c r="U98" s="3">
        <v>641125</v>
      </c>
      <c r="V98" s="3"/>
      <c r="W98" s="3">
        <v>294946</v>
      </c>
      <c r="X98" s="3"/>
      <c r="Y98" s="3">
        <v>323465</v>
      </c>
      <c r="Z98" s="3"/>
      <c r="AA98" s="3">
        <v>261611</v>
      </c>
      <c r="AB98" s="13" t="s">
        <v>359</v>
      </c>
      <c r="AD98" s="13" t="s">
        <v>144</v>
      </c>
      <c r="AF98" s="3">
        <v>0</v>
      </c>
      <c r="AG98" s="3"/>
      <c r="AH98" s="3">
        <v>13742</v>
      </c>
      <c r="AI98" s="3"/>
      <c r="AJ98" s="3"/>
      <c r="AK98" s="3"/>
      <c r="AL98" s="3">
        <v>0</v>
      </c>
      <c r="AM98" s="3"/>
      <c r="AN98" s="3">
        <f>12245+40697</f>
        <v>52942</v>
      </c>
      <c r="AO98" s="3"/>
      <c r="AP98" s="3">
        <v>0</v>
      </c>
      <c r="AQ98" s="3"/>
      <c r="AR98" s="3">
        <v>0</v>
      </c>
      <c r="AS98" s="3"/>
      <c r="AT98" s="3"/>
      <c r="AU98" s="3"/>
      <c r="AV98" s="3">
        <v>0</v>
      </c>
      <c r="AW98" s="3"/>
      <c r="AX98" s="3">
        <v>0</v>
      </c>
      <c r="AY98" s="3"/>
      <c r="AZ98" s="3">
        <f t="shared" si="5"/>
        <v>9080603</v>
      </c>
      <c r="BA98" s="3"/>
      <c r="BB98" s="3">
        <v>7115</v>
      </c>
      <c r="BC98" s="3"/>
      <c r="BD98" s="3"/>
      <c r="BE98" s="3"/>
      <c r="BF98" s="3"/>
      <c r="BG98" s="3"/>
      <c r="BH98" s="3">
        <v>0</v>
      </c>
      <c r="BI98" s="13" t="s">
        <v>359</v>
      </c>
      <c r="BK98" s="13" t="s">
        <v>144</v>
      </c>
      <c r="BL98" s="3"/>
      <c r="BM98" s="3">
        <f t="shared" si="4"/>
        <v>9087718</v>
      </c>
      <c r="BN98" s="3"/>
      <c r="BO98" s="3">
        <f>GenRev!AU98-BM98</f>
        <v>-563790</v>
      </c>
      <c r="BP98" s="3"/>
      <c r="BQ98" s="3">
        <v>2460210</v>
      </c>
      <c r="BR98" s="3"/>
      <c r="BS98" s="3">
        <v>0</v>
      </c>
      <c r="BT98" s="3"/>
      <c r="BU98" s="3">
        <f t="shared" si="6"/>
        <v>1896420</v>
      </c>
      <c r="BV98" s="3"/>
      <c r="BW98" s="14">
        <f>+BU98-GenBS!AC98</f>
        <v>0</v>
      </c>
    </row>
    <row r="99" spans="1:75" s="13" customFormat="1">
      <c r="A99" s="13" t="s">
        <v>358</v>
      </c>
      <c r="C99" s="13" t="s">
        <v>177</v>
      </c>
      <c r="E99" s="3">
        <v>970</v>
      </c>
      <c r="F99" s="3"/>
      <c r="G99" s="3">
        <v>4942624</v>
      </c>
      <c r="H99" s="3"/>
      <c r="I99" s="3">
        <v>119144</v>
      </c>
      <c r="J99" s="3"/>
      <c r="K99" s="3">
        <v>51</v>
      </c>
      <c r="L99" s="3"/>
      <c r="M99" s="3">
        <v>79260</v>
      </c>
      <c r="N99" s="3"/>
      <c r="O99" s="3">
        <v>4797762</v>
      </c>
      <c r="P99" s="3"/>
      <c r="Q99" s="3">
        <v>2094717</v>
      </c>
      <c r="R99" s="3"/>
      <c r="S99" s="3">
        <v>25754</v>
      </c>
      <c r="T99" s="3"/>
      <c r="U99" s="3">
        <v>2030928</v>
      </c>
      <c r="V99" s="3"/>
      <c r="W99" s="3">
        <v>1053306</v>
      </c>
      <c r="X99" s="3"/>
      <c r="Y99" s="3">
        <v>57520</v>
      </c>
      <c r="Z99" s="3"/>
      <c r="AA99" s="3">
        <v>732585</v>
      </c>
      <c r="AB99" s="13" t="s">
        <v>358</v>
      </c>
      <c r="AD99" s="13" t="s">
        <v>177</v>
      </c>
      <c r="AF99" s="3">
        <v>38992</v>
      </c>
      <c r="AG99" s="3"/>
      <c r="AH99" s="3">
        <v>382769</v>
      </c>
      <c r="AI99" s="3"/>
      <c r="AJ99" s="3"/>
      <c r="AK99" s="3"/>
      <c r="AL99" s="3">
        <v>0</v>
      </c>
      <c r="AM99" s="3"/>
      <c r="AN99" s="3">
        <v>118786</v>
      </c>
      <c r="AO99" s="3"/>
      <c r="AP99" s="3">
        <v>0</v>
      </c>
      <c r="AQ99" s="3"/>
      <c r="AR99" s="3">
        <v>6406</v>
      </c>
      <c r="AS99" s="3"/>
      <c r="AT99" s="3"/>
      <c r="AU99" s="3"/>
      <c r="AV99" s="3">
        <v>2086</v>
      </c>
      <c r="AW99" s="3"/>
      <c r="AX99" s="3">
        <v>423</v>
      </c>
      <c r="AY99" s="3"/>
      <c r="AZ99" s="3">
        <f t="shared" si="5"/>
        <v>16484083</v>
      </c>
      <c r="BA99" s="3"/>
      <c r="BB99" s="3">
        <v>86737</v>
      </c>
      <c r="BC99" s="3"/>
      <c r="BD99" s="3"/>
      <c r="BE99" s="3"/>
      <c r="BF99" s="3"/>
      <c r="BG99" s="3"/>
      <c r="BH99" s="3">
        <v>0</v>
      </c>
      <c r="BI99" s="13" t="s">
        <v>358</v>
      </c>
      <c r="BK99" s="13" t="s">
        <v>177</v>
      </c>
      <c r="BL99" s="3"/>
      <c r="BM99" s="3">
        <f t="shared" si="4"/>
        <v>16570820</v>
      </c>
      <c r="BN99" s="3"/>
      <c r="BO99" s="3">
        <f>GenRev!AU99-BM99</f>
        <v>-210121</v>
      </c>
      <c r="BP99" s="3"/>
      <c r="BQ99" s="3">
        <v>2400435</v>
      </c>
      <c r="BR99" s="3"/>
      <c r="BS99" s="3">
        <v>0</v>
      </c>
      <c r="BT99" s="3"/>
      <c r="BU99" s="3">
        <f t="shared" si="6"/>
        <v>2190314</v>
      </c>
      <c r="BV99" s="3"/>
      <c r="BW99" s="14">
        <f>+BU99-GenBS!AC99</f>
        <v>0</v>
      </c>
    </row>
    <row r="100" spans="1:75" s="13" customFormat="1" hidden="1">
      <c r="A100" s="3" t="s">
        <v>322</v>
      </c>
      <c r="C100" s="13" t="s">
        <v>153</v>
      </c>
      <c r="E100" s="3">
        <v>0</v>
      </c>
      <c r="F100" s="3"/>
      <c r="G100" s="3">
        <v>0</v>
      </c>
      <c r="H100" s="3"/>
      <c r="I100" s="3">
        <v>0</v>
      </c>
      <c r="J100" s="3"/>
      <c r="K100" s="3">
        <v>0</v>
      </c>
      <c r="L100" s="3"/>
      <c r="M100" s="3">
        <v>0</v>
      </c>
      <c r="N100" s="3"/>
      <c r="O100" s="3">
        <v>0</v>
      </c>
      <c r="P100" s="3"/>
      <c r="Q100" s="3">
        <v>0</v>
      </c>
      <c r="R100" s="3"/>
      <c r="S100" s="3">
        <v>0</v>
      </c>
      <c r="T100" s="3"/>
      <c r="U100" s="3">
        <v>0</v>
      </c>
      <c r="V100" s="3"/>
      <c r="W100" s="3">
        <v>0</v>
      </c>
      <c r="X100" s="3"/>
      <c r="Y100" s="3">
        <v>0</v>
      </c>
      <c r="Z100" s="3"/>
      <c r="AA100" s="3">
        <v>0</v>
      </c>
      <c r="AB100" s="3" t="s">
        <v>322</v>
      </c>
      <c r="AD100" s="13" t="s">
        <v>153</v>
      </c>
      <c r="AF100" s="3">
        <v>0</v>
      </c>
      <c r="AG100" s="3"/>
      <c r="AH100" s="3">
        <v>0</v>
      </c>
      <c r="AI100" s="3"/>
      <c r="AJ100" s="3"/>
      <c r="AK100" s="3"/>
      <c r="AL100" s="3">
        <v>0</v>
      </c>
      <c r="AM100" s="3"/>
      <c r="AN100" s="3">
        <v>0</v>
      </c>
      <c r="AO100" s="3"/>
      <c r="AP100" s="3">
        <v>0</v>
      </c>
      <c r="AQ100" s="3"/>
      <c r="AR100" s="3">
        <v>0</v>
      </c>
      <c r="AS100" s="3"/>
      <c r="AT100" s="3"/>
      <c r="AU100" s="3"/>
      <c r="AV100" s="3">
        <v>0</v>
      </c>
      <c r="AW100" s="3"/>
      <c r="AX100" s="3">
        <v>0</v>
      </c>
      <c r="AY100" s="3"/>
      <c r="AZ100" s="3">
        <f t="shared" si="5"/>
        <v>0</v>
      </c>
      <c r="BA100" s="3"/>
      <c r="BB100" s="3">
        <v>0</v>
      </c>
      <c r="BC100" s="3"/>
      <c r="BD100" s="3"/>
      <c r="BE100" s="3"/>
      <c r="BF100" s="3"/>
      <c r="BG100" s="3"/>
      <c r="BH100" s="3">
        <v>0</v>
      </c>
      <c r="BI100" s="3" t="s">
        <v>322</v>
      </c>
      <c r="BK100" s="13" t="s">
        <v>153</v>
      </c>
      <c r="BL100" s="3"/>
      <c r="BM100" s="3">
        <f t="shared" si="4"/>
        <v>0</v>
      </c>
      <c r="BN100" s="3"/>
      <c r="BO100" s="3">
        <f>GenRev!AU100-BM100</f>
        <v>0</v>
      </c>
      <c r="BP100" s="3"/>
      <c r="BQ100" s="3">
        <v>0</v>
      </c>
      <c r="BR100" s="3"/>
      <c r="BS100" s="3"/>
      <c r="BT100" s="3"/>
      <c r="BU100" s="3">
        <f t="shared" si="6"/>
        <v>0</v>
      </c>
      <c r="BV100" s="3"/>
      <c r="BW100" s="14">
        <f>+BU100-GenBS!AC100</f>
        <v>0</v>
      </c>
    </row>
    <row r="101" spans="1:75" s="13" customFormat="1">
      <c r="A101" s="3" t="s">
        <v>323</v>
      </c>
      <c r="C101" s="13" t="s">
        <v>178</v>
      </c>
      <c r="E101" s="3">
        <v>1790133</v>
      </c>
      <c r="F101" s="3"/>
      <c r="G101" s="3">
        <v>5692164</v>
      </c>
      <c r="H101" s="3"/>
      <c r="I101" s="3">
        <v>62979</v>
      </c>
      <c r="J101" s="3"/>
      <c r="K101" s="3">
        <v>0</v>
      </c>
      <c r="L101" s="3"/>
      <c r="M101" s="3">
        <v>0</v>
      </c>
      <c r="N101" s="3"/>
      <c r="O101" s="3">
        <v>4705953</v>
      </c>
      <c r="P101" s="3"/>
      <c r="Q101" s="3">
        <v>2239797</v>
      </c>
      <c r="R101" s="3"/>
      <c r="S101" s="3">
        <v>35233</v>
      </c>
      <c r="T101" s="3"/>
      <c r="U101" s="3">
        <v>840329</v>
      </c>
      <c r="V101" s="3"/>
      <c r="W101" s="3">
        <v>540703</v>
      </c>
      <c r="X101" s="3"/>
      <c r="Y101" s="3">
        <v>317873</v>
      </c>
      <c r="Z101" s="3"/>
      <c r="AA101" s="3">
        <v>209358</v>
      </c>
      <c r="AB101" s="3" t="s">
        <v>323</v>
      </c>
      <c r="AD101" s="13" t="s">
        <v>178</v>
      </c>
      <c r="AF101" s="3">
        <v>0</v>
      </c>
      <c r="AG101" s="3"/>
      <c r="AH101" s="3">
        <v>689909</v>
      </c>
      <c r="AI101" s="3"/>
      <c r="AJ101" s="3"/>
      <c r="AK101" s="3"/>
      <c r="AL101" s="3">
        <v>0</v>
      </c>
      <c r="AM101" s="3"/>
      <c r="AN101" s="3">
        <v>180974</v>
      </c>
      <c r="AO101" s="3"/>
      <c r="AP101" s="3">
        <v>0</v>
      </c>
      <c r="AQ101" s="3"/>
      <c r="AR101" s="3">
        <v>0</v>
      </c>
      <c r="AS101" s="3"/>
      <c r="AT101" s="3"/>
      <c r="AU101" s="3"/>
      <c r="AV101" s="3">
        <v>0</v>
      </c>
      <c r="AW101" s="3"/>
      <c r="AX101" s="3">
        <v>0</v>
      </c>
      <c r="AY101" s="3"/>
      <c r="AZ101" s="3">
        <f t="shared" si="5"/>
        <v>17305405</v>
      </c>
      <c r="BA101" s="3"/>
      <c r="BB101" s="3">
        <v>110000</v>
      </c>
      <c r="BC101" s="3"/>
      <c r="BD101" s="3"/>
      <c r="BE101" s="3"/>
      <c r="BF101" s="3"/>
      <c r="BG101" s="3"/>
      <c r="BH101" s="3">
        <v>0</v>
      </c>
      <c r="BI101" s="3" t="s">
        <v>323</v>
      </c>
      <c r="BK101" s="13" t="s">
        <v>178</v>
      </c>
      <c r="BL101" s="3"/>
      <c r="BM101" s="3">
        <f t="shared" ref="BM101:BM130" si="7">+BH101+BD101+BB101+AZ101</f>
        <v>17415405</v>
      </c>
      <c r="BN101" s="3"/>
      <c r="BO101" s="3">
        <f>GenRev!AU101-BM101</f>
        <v>268412</v>
      </c>
      <c r="BP101" s="3"/>
      <c r="BQ101" s="3">
        <v>165535</v>
      </c>
      <c r="BR101" s="3"/>
      <c r="BS101" s="3">
        <v>0</v>
      </c>
      <c r="BT101" s="3"/>
      <c r="BU101" s="3">
        <f t="shared" si="6"/>
        <v>433947</v>
      </c>
      <c r="BV101" s="3"/>
      <c r="BW101" s="14">
        <f>+BU101-GenBS!AC101</f>
        <v>0</v>
      </c>
    </row>
    <row r="102" spans="1:75" s="13" customFormat="1">
      <c r="A102" s="3" t="s">
        <v>179</v>
      </c>
      <c r="C102" s="13" t="s">
        <v>180</v>
      </c>
      <c r="E102" s="3">
        <v>992160</v>
      </c>
      <c r="F102" s="3"/>
      <c r="G102" s="3">
        <v>183973</v>
      </c>
      <c r="H102" s="3"/>
      <c r="I102" s="3">
        <v>0</v>
      </c>
      <c r="J102" s="3"/>
      <c r="K102" s="3">
        <v>0</v>
      </c>
      <c r="L102" s="3"/>
      <c r="M102" s="3">
        <v>0</v>
      </c>
      <c r="N102" s="3"/>
      <c r="O102" s="3">
        <v>814078</v>
      </c>
      <c r="P102" s="3"/>
      <c r="Q102" s="3">
        <v>2734206</v>
      </c>
      <c r="R102" s="3"/>
      <c r="S102" s="3">
        <v>40352</v>
      </c>
      <c r="T102" s="3"/>
      <c r="U102" s="3">
        <v>261653</v>
      </c>
      <c r="V102" s="3"/>
      <c r="W102" s="3">
        <v>263023</v>
      </c>
      <c r="X102" s="3"/>
      <c r="Y102" s="3">
        <v>313918</v>
      </c>
      <c r="Z102" s="3"/>
      <c r="AA102" s="3">
        <v>13</v>
      </c>
      <c r="AB102" s="3" t="s">
        <v>179</v>
      </c>
      <c r="AD102" s="13" t="s">
        <v>180</v>
      </c>
      <c r="AF102" s="3">
        <v>200362</v>
      </c>
      <c r="AG102" s="3"/>
      <c r="AH102" s="3">
        <v>294460</v>
      </c>
      <c r="AI102" s="3"/>
      <c r="AJ102" s="3"/>
      <c r="AK102" s="3"/>
      <c r="AL102" s="3">
        <v>0</v>
      </c>
      <c r="AM102" s="3"/>
      <c r="AN102" s="3">
        <v>2336</v>
      </c>
      <c r="AO102" s="3"/>
      <c r="AP102" s="3">
        <v>14152</v>
      </c>
      <c r="AQ102" s="3"/>
      <c r="AR102" s="3">
        <v>0</v>
      </c>
      <c r="AS102" s="3"/>
      <c r="AT102" s="3"/>
      <c r="AU102" s="3"/>
      <c r="AV102" s="3">
        <v>0</v>
      </c>
      <c r="AW102" s="3"/>
      <c r="AX102" s="3">
        <v>0</v>
      </c>
      <c r="AY102" s="3"/>
      <c r="AZ102" s="3">
        <f t="shared" si="5"/>
        <v>6114686</v>
      </c>
      <c r="BA102" s="3"/>
      <c r="BB102" s="3">
        <v>20</v>
      </c>
      <c r="BC102" s="3"/>
      <c r="BD102" s="3"/>
      <c r="BE102" s="3"/>
      <c r="BF102" s="3"/>
      <c r="BG102" s="3"/>
      <c r="BH102" s="3">
        <v>0</v>
      </c>
      <c r="BI102" s="3" t="s">
        <v>179</v>
      </c>
      <c r="BK102" s="13" t="s">
        <v>180</v>
      </c>
      <c r="BL102" s="3"/>
      <c r="BM102" s="3">
        <f t="shared" si="7"/>
        <v>6114706</v>
      </c>
      <c r="BN102" s="3"/>
      <c r="BO102" s="3">
        <f>GenRev!AU102-BM102</f>
        <v>-349876</v>
      </c>
      <c r="BP102" s="3"/>
      <c r="BQ102" s="3">
        <v>1647725</v>
      </c>
      <c r="BR102" s="3"/>
      <c r="BS102" s="3">
        <v>0</v>
      </c>
      <c r="BT102" s="3"/>
      <c r="BU102" s="3">
        <f t="shared" si="6"/>
        <v>1297849</v>
      </c>
      <c r="BV102" s="3"/>
      <c r="BW102" s="14">
        <f>+BU102-GenBS!AC102</f>
        <v>0</v>
      </c>
    </row>
    <row r="103" spans="1:75" s="13" customFormat="1" hidden="1">
      <c r="A103" s="3" t="s">
        <v>324</v>
      </c>
      <c r="C103" s="13" t="s">
        <v>181</v>
      </c>
      <c r="E103" s="3">
        <v>0</v>
      </c>
      <c r="F103" s="3"/>
      <c r="G103" s="3">
        <v>0</v>
      </c>
      <c r="H103" s="3"/>
      <c r="I103" s="3">
        <v>0</v>
      </c>
      <c r="J103" s="3"/>
      <c r="K103" s="3">
        <v>0</v>
      </c>
      <c r="L103" s="3"/>
      <c r="M103" s="3">
        <v>0</v>
      </c>
      <c r="N103" s="3"/>
      <c r="O103" s="3">
        <v>0</v>
      </c>
      <c r="P103" s="3"/>
      <c r="Q103" s="3">
        <v>0</v>
      </c>
      <c r="R103" s="3"/>
      <c r="S103" s="3">
        <v>0</v>
      </c>
      <c r="T103" s="3"/>
      <c r="U103" s="3">
        <v>0</v>
      </c>
      <c r="V103" s="3"/>
      <c r="W103" s="3">
        <v>0</v>
      </c>
      <c r="X103" s="3"/>
      <c r="Y103" s="3">
        <v>0</v>
      </c>
      <c r="Z103" s="3"/>
      <c r="AA103" s="3">
        <v>0</v>
      </c>
      <c r="AB103" s="3" t="s">
        <v>324</v>
      </c>
      <c r="AD103" s="13" t="s">
        <v>181</v>
      </c>
      <c r="AF103" s="3">
        <v>0</v>
      </c>
      <c r="AG103" s="3"/>
      <c r="AH103" s="3">
        <v>0</v>
      </c>
      <c r="AI103" s="3"/>
      <c r="AJ103" s="3"/>
      <c r="AK103" s="3"/>
      <c r="AL103" s="3">
        <v>0</v>
      </c>
      <c r="AM103" s="3"/>
      <c r="AN103" s="3">
        <v>0</v>
      </c>
      <c r="AO103" s="3"/>
      <c r="AP103" s="3">
        <v>0</v>
      </c>
      <c r="AQ103" s="3"/>
      <c r="AR103" s="3">
        <v>0</v>
      </c>
      <c r="AS103" s="3"/>
      <c r="AT103" s="3"/>
      <c r="AU103" s="3"/>
      <c r="AV103" s="3">
        <v>0</v>
      </c>
      <c r="AW103" s="3"/>
      <c r="AX103" s="3">
        <v>0</v>
      </c>
      <c r="AY103" s="3"/>
      <c r="AZ103" s="3">
        <f t="shared" si="5"/>
        <v>0</v>
      </c>
      <c r="BA103" s="3"/>
      <c r="BB103" s="3">
        <v>0</v>
      </c>
      <c r="BC103" s="3"/>
      <c r="BD103" s="3"/>
      <c r="BE103" s="3"/>
      <c r="BF103" s="3"/>
      <c r="BG103" s="3"/>
      <c r="BH103" s="3">
        <v>0</v>
      </c>
      <c r="BI103" s="3" t="s">
        <v>324</v>
      </c>
      <c r="BK103" s="13" t="s">
        <v>181</v>
      </c>
      <c r="BL103" s="3"/>
      <c r="BM103" s="3">
        <f t="shared" si="7"/>
        <v>0</v>
      </c>
      <c r="BN103" s="3"/>
      <c r="BO103" s="3">
        <f>GenRev!AU103-BM103</f>
        <v>0</v>
      </c>
      <c r="BP103" s="3"/>
      <c r="BQ103" s="3">
        <v>0</v>
      </c>
      <c r="BR103" s="3"/>
      <c r="BS103" s="3"/>
      <c r="BT103" s="3"/>
      <c r="BU103" s="3">
        <f t="shared" si="6"/>
        <v>0</v>
      </c>
      <c r="BV103" s="3"/>
      <c r="BW103" s="14">
        <f>+BU103-GenBS!AC103</f>
        <v>0</v>
      </c>
    </row>
    <row r="104" spans="1:75" s="13" customFormat="1">
      <c r="A104" s="3" t="s">
        <v>325</v>
      </c>
      <c r="C104" s="13" t="s">
        <v>182</v>
      </c>
      <c r="E104" s="3">
        <v>238543</v>
      </c>
      <c r="F104" s="3"/>
      <c r="G104" s="3">
        <v>4879919</v>
      </c>
      <c r="H104" s="3"/>
      <c r="I104" s="3">
        <v>0</v>
      </c>
      <c r="J104" s="3"/>
      <c r="K104" s="3">
        <v>0</v>
      </c>
      <c r="L104" s="3"/>
      <c r="M104" s="3">
        <v>0</v>
      </c>
      <c r="N104" s="3"/>
      <c r="O104" s="3">
        <v>2749671</v>
      </c>
      <c r="P104" s="3"/>
      <c r="Q104" s="3">
        <v>2573158</v>
      </c>
      <c r="R104" s="3"/>
      <c r="S104" s="3">
        <v>16100</v>
      </c>
      <c r="T104" s="3"/>
      <c r="U104" s="3">
        <v>979688</v>
      </c>
      <c r="V104" s="3"/>
      <c r="W104" s="3">
        <v>216739</v>
      </c>
      <c r="X104" s="3"/>
      <c r="Y104" s="3">
        <v>0</v>
      </c>
      <c r="Z104" s="3"/>
      <c r="AA104" s="3">
        <v>49471</v>
      </c>
      <c r="AB104" s="3" t="s">
        <v>325</v>
      </c>
      <c r="AD104" s="13" t="s">
        <v>182</v>
      </c>
      <c r="AF104" s="3">
        <v>11533</v>
      </c>
      <c r="AG104" s="3"/>
      <c r="AH104" s="3">
        <v>193139</v>
      </c>
      <c r="AI104" s="3"/>
      <c r="AJ104" s="3"/>
      <c r="AK104" s="3"/>
      <c r="AL104" s="3">
        <v>0</v>
      </c>
      <c r="AM104" s="3"/>
      <c r="AN104" s="3">
        <v>0</v>
      </c>
      <c r="AO104" s="3"/>
      <c r="AP104" s="3">
        <v>0</v>
      </c>
      <c r="AQ104" s="3"/>
      <c r="AR104" s="3">
        <v>0</v>
      </c>
      <c r="AS104" s="3"/>
      <c r="AT104" s="3"/>
      <c r="AU104" s="3"/>
      <c r="AV104" s="3">
        <v>7390</v>
      </c>
      <c r="AW104" s="3"/>
      <c r="AX104" s="3">
        <v>6032</v>
      </c>
      <c r="AY104" s="3"/>
      <c r="AZ104" s="3">
        <f t="shared" si="5"/>
        <v>11921383</v>
      </c>
      <c r="BA104" s="3"/>
      <c r="BB104" s="3">
        <v>0</v>
      </c>
      <c r="BC104" s="3"/>
      <c r="BD104" s="3"/>
      <c r="BE104" s="3"/>
      <c r="BF104" s="3"/>
      <c r="BG104" s="3"/>
      <c r="BH104" s="3">
        <v>0</v>
      </c>
      <c r="BI104" s="3" t="s">
        <v>325</v>
      </c>
      <c r="BK104" s="13" t="s">
        <v>182</v>
      </c>
      <c r="BL104" s="3"/>
      <c r="BM104" s="3">
        <f t="shared" si="7"/>
        <v>11921383</v>
      </c>
      <c r="BN104" s="3"/>
      <c r="BO104" s="3">
        <f>GenRev!AU104-BM104</f>
        <v>776361</v>
      </c>
      <c r="BP104" s="3"/>
      <c r="BQ104" s="3">
        <v>1829836</v>
      </c>
      <c r="BR104" s="3"/>
      <c r="BS104" s="3">
        <v>0</v>
      </c>
      <c r="BT104" s="3"/>
      <c r="BU104" s="3">
        <f t="shared" si="6"/>
        <v>2606197</v>
      </c>
      <c r="BV104" s="3"/>
      <c r="BW104" s="14">
        <f>+BU104-GenBS!AC104</f>
        <v>0</v>
      </c>
    </row>
    <row r="105" spans="1:75" s="13" customFormat="1" hidden="1">
      <c r="A105" s="3" t="s">
        <v>280</v>
      </c>
      <c r="B105" s="3"/>
      <c r="C105" s="3" t="s">
        <v>191</v>
      </c>
      <c r="E105" s="3">
        <v>0</v>
      </c>
      <c r="F105" s="3"/>
      <c r="G105" s="3">
        <v>0</v>
      </c>
      <c r="H105" s="3"/>
      <c r="I105" s="3">
        <v>0</v>
      </c>
      <c r="J105" s="3"/>
      <c r="K105" s="3">
        <v>0</v>
      </c>
      <c r="L105" s="3"/>
      <c r="M105" s="3">
        <v>0</v>
      </c>
      <c r="N105" s="3"/>
      <c r="O105" s="3">
        <v>0</v>
      </c>
      <c r="P105" s="3"/>
      <c r="Q105" s="3">
        <v>0</v>
      </c>
      <c r="R105" s="3"/>
      <c r="S105" s="3">
        <v>0</v>
      </c>
      <c r="T105" s="3"/>
      <c r="U105" s="3">
        <v>0</v>
      </c>
      <c r="V105" s="3"/>
      <c r="W105" s="3">
        <v>0</v>
      </c>
      <c r="X105" s="3"/>
      <c r="Y105" s="3">
        <v>0</v>
      </c>
      <c r="Z105" s="3"/>
      <c r="AA105" s="3">
        <v>0</v>
      </c>
      <c r="AB105" s="3" t="s">
        <v>280</v>
      </c>
      <c r="AC105" s="3"/>
      <c r="AD105" s="3" t="s">
        <v>191</v>
      </c>
      <c r="AE105" s="3"/>
      <c r="AF105" s="3">
        <v>0</v>
      </c>
      <c r="AG105" s="3"/>
      <c r="AH105" s="3">
        <v>0</v>
      </c>
      <c r="AI105" s="3"/>
      <c r="AJ105" s="3"/>
      <c r="AK105" s="3"/>
      <c r="AL105" s="3">
        <v>0</v>
      </c>
      <c r="AM105" s="3"/>
      <c r="AN105" s="3">
        <v>0</v>
      </c>
      <c r="AO105" s="3"/>
      <c r="AP105" s="3">
        <v>0</v>
      </c>
      <c r="AQ105" s="3"/>
      <c r="AR105" s="3">
        <v>0</v>
      </c>
      <c r="AS105" s="3"/>
      <c r="AT105" s="3"/>
      <c r="AU105" s="3"/>
      <c r="AV105" s="3">
        <v>0</v>
      </c>
      <c r="AW105" s="3"/>
      <c r="AX105" s="3">
        <v>0</v>
      </c>
      <c r="AY105" s="3"/>
      <c r="AZ105" s="3">
        <f t="shared" si="5"/>
        <v>0</v>
      </c>
      <c r="BA105" s="3"/>
      <c r="BB105" s="3">
        <v>0</v>
      </c>
      <c r="BC105" s="3"/>
      <c r="BD105" s="3"/>
      <c r="BE105" s="3"/>
      <c r="BF105" s="3"/>
      <c r="BG105" s="3"/>
      <c r="BH105" s="3">
        <v>0</v>
      </c>
      <c r="BI105" s="3" t="s">
        <v>280</v>
      </c>
      <c r="BJ105" s="3"/>
      <c r="BK105" s="3" t="s">
        <v>191</v>
      </c>
      <c r="BL105" s="3"/>
      <c r="BM105" s="3">
        <f t="shared" si="7"/>
        <v>0</v>
      </c>
      <c r="BN105" s="3"/>
      <c r="BO105" s="3">
        <f>GenRev!AU105-BM105</f>
        <v>0</v>
      </c>
      <c r="BP105" s="3"/>
      <c r="BQ105" s="3">
        <v>0</v>
      </c>
      <c r="BR105" s="3"/>
      <c r="BS105" s="3"/>
      <c r="BT105" s="3"/>
      <c r="BU105" s="3">
        <f t="shared" si="6"/>
        <v>0</v>
      </c>
      <c r="BV105" s="3"/>
      <c r="BW105" s="14">
        <f>+BU105-GenBS!AC105</f>
        <v>0</v>
      </c>
    </row>
    <row r="106" spans="1:75" s="13" customFormat="1">
      <c r="A106" s="3" t="s">
        <v>326</v>
      </c>
      <c r="C106" s="13" t="s">
        <v>183</v>
      </c>
      <c r="E106" s="3">
        <v>0</v>
      </c>
      <c r="F106" s="3"/>
      <c r="G106" s="3">
        <v>6043961</v>
      </c>
      <c r="H106" s="3"/>
      <c r="I106" s="3">
        <v>0</v>
      </c>
      <c r="J106" s="3"/>
      <c r="K106" s="3">
        <v>0</v>
      </c>
      <c r="L106" s="3"/>
      <c r="M106" s="3">
        <v>0</v>
      </c>
      <c r="N106" s="3"/>
      <c r="O106" s="3">
        <v>8444930</v>
      </c>
      <c r="P106" s="3"/>
      <c r="Q106" s="3">
        <v>5641699</v>
      </c>
      <c r="R106" s="3"/>
      <c r="S106" s="3">
        <v>0</v>
      </c>
      <c r="T106" s="3"/>
      <c r="U106" s="3">
        <f>88273+1422598</f>
        <v>1510871</v>
      </c>
      <c r="V106" s="3"/>
      <c r="W106" s="3">
        <v>348238</v>
      </c>
      <c r="X106" s="3"/>
      <c r="Y106" s="3">
        <v>2876</v>
      </c>
      <c r="Z106" s="3"/>
      <c r="AA106" s="3">
        <v>1235262</v>
      </c>
      <c r="AB106" s="3" t="s">
        <v>326</v>
      </c>
      <c r="AD106" s="13" t="s">
        <v>183</v>
      </c>
      <c r="AF106" s="3">
        <v>21880</v>
      </c>
      <c r="AG106" s="3"/>
      <c r="AH106" s="3">
        <v>990506</v>
      </c>
      <c r="AI106" s="3"/>
      <c r="AJ106" s="3"/>
      <c r="AK106" s="3"/>
      <c r="AL106" s="3">
        <v>0</v>
      </c>
      <c r="AM106" s="3"/>
      <c r="AN106" s="3">
        <v>156</v>
      </c>
      <c r="AO106" s="3"/>
      <c r="AP106" s="3">
        <v>0</v>
      </c>
      <c r="AQ106" s="3"/>
      <c r="AR106" s="3">
        <v>287939</v>
      </c>
      <c r="AS106" s="3"/>
      <c r="AT106" s="3"/>
      <c r="AU106" s="3"/>
      <c r="AV106" s="3">
        <v>217903</v>
      </c>
      <c r="AW106" s="3"/>
      <c r="AX106" s="3">
        <v>9762</v>
      </c>
      <c r="AY106" s="3"/>
      <c r="AZ106" s="3">
        <f t="shared" si="5"/>
        <v>24755983</v>
      </c>
      <c r="BA106" s="3"/>
      <c r="BB106" s="3">
        <v>96023</v>
      </c>
      <c r="BC106" s="3"/>
      <c r="BD106" s="3"/>
      <c r="BE106" s="3"/>
      <c r="BF106" s="3"/>
      <c r="BG106" s="3"/>
      <c r="BH106" s="3">
        <v>0</v>
      </c>
      <c r="BI106" s="3" t="s">
        <v>326</v>
      </c>
      <c r="BK106" s="13" t="s">
        <v>183</v>
      </c>
      <c r="BL106" s="3"/>
      <c r="BM106" s="3">
        <f t="shared" si="7"/>
        <v>24852006</v>
      </c>
      <c r="BN106" s="3"/>
      <c r="BO106" s="3">
        <f>GenRev!AU106-BM106</f>
        <v>545405</v>
      </c>
      <c r="BP106" s="3"/>
      <c r="BQ106" s="3">
        <v>11936396</v>
      </c>
      <c r="BR106" s="3"/>
      <c r="BS106" s="3">
        <v>0</v>
      </c>
      <c r="BT106" s="3"/>
      <c r="BU106" s="3">
        <f t="shared" si="6"/>
        <v>12481801</v>
      </c>
      <c r="BV106" s="3"/>
      <c r="BW106" s="14">
        <f>+BU106-GenBS!AC106</f>
        <v>0</v>
      </c>
    </row>
    <row r="107" spans="1:75" s="13" customFormat="1">
      <c r="A107" s="3" t="s">
        <v>184</v>
      </c>
      <c r="C107" s="13" t="s">
        <v>185</v>
      </c>
      <c r="E107" s="3">
        <v>694876</v>
      </c>
      <c r="F107" s="3"/>
      <c r="G107" s="3">
        <v>4458376</v>
      </c>
      <c r="H107" s="3"/>
      <c r="I107" s="3">
        <v>0</v>
      </c>
      <c r="J107" s="3"/>
      <c r="K107" s="3">
        <v>0</v>
      </c>
      <c r="L107" s="3"/>
      <c r="M107" s="3">
        <v>73780</v>
      </c>
      <c r="N107" s="3"/>
      <c r="O107" s="3">
        <v>3275411</v>
      </c>
      <c r="P107" s="3"/>
      <c r="Q107" s="3">
        <v>3332785</v>
      </c>
      <c r="R107" s="3"/>
      <c r="S107" s="3">
        <v>74523</v>
      </c>
      <c r="T107" s="3"/>
      <c r="U107" s="3">
        <v>1121485</v>
      </c>
      <c r="V107" s="3"/>
      <c r="W107" s="3">
        <v>453259</v>
      </c>
      <c r="X107" s="3"/>
      <c r="Y107" s="3">
        <v>0</v>
      </c>
      <c r="Z107" s="3"/>
      <c r="AA107" s="3">
        <v>147763</v>
      </c>
      <c r="AB107" s="3" t="s">
        <v>184</v>
      </c>
      <c r="AD107" s="13" t="s">
        <v>185</v>
      </c>
      <c r="AF107" s="3">
        <v>26374</v>
      </c>
      <c r="AG107" s="3"/>
      <c r="AH107" s="3">
        <v>221804</v>
      </c>
      <c r="AI107" s="3"/>
      <c r="AJ107" s="3"/>
      <c r="AK107" s="3"/>
      <c r="AL107" s="3">
        <v>0</v>
      </c>
      <c r="AM107" s="3"/>
      <c r="AN107" s="3">
        <v>50014</v>
      </c>
      <c r="AO107" s="3"/>
      <c r="AP107" s="3">
        <v>14133</v>
      </c>
      <c r="AQ107" s="3"/>
      <c r="AR107" s="3">
        <v>0</v>
      </c>
      <c r="AS107" s="3"/>
      <c r="AT107" s="3"/>
      <c r="AU107" s="3"/>
      <c r="AV107" s="3">
        <v>14285</v>
      </c>
      <c r="AW107" s="3"/>
      <c r="AX107" s="3">
        <v>1757</v>
      </c>
      <c r="AY107" s="3"/>
      <c r="AZ107" s="3">
        <f t="shared" si="5"/>
        <v>13960625</v>
      </c>
      <c r="BA107" s="3"/>
      <c r="BB107" s="3">
        <v>0</v>
      </c>
      <c r="BC107" s="3"/>
      <c r="BD107" s="3"/>
      <c r="BE107" s="3"/>
      <c r="BF107" s="3"/>
      <c r="BG107" s="3"/>
      <c r="BH107" s="3">
        <v>0</v>
      </c>
      <c r="BI107" s="3" t="s">
        <v>184</v>
      </c>
      <c r="BK107" s="13" t="s">
        <v>185</v>
      </c>
      <c r="BL107" s="3"/>
      <c r="BM107" s="3">
        <f t="shared" si="7"/>
        <v>13960625</v>
      </c>
      <c r="BN107" s="3"/>
      <c r="BO107" s="3">
        <f>GenRev!AU107-BM107</f>
        <v>512483</v>
      </c>
      <c r="BP107" s="3"/>
      <c r="BQ107" s="3">
        <v>2787000</v>
      </c>
      <c r="BR107" s="3"/>
      <c r="BS107" s="3">
        <v>0</v>
      </c>
      <c r="BT107" s="3"/>
      <c r="BU107" s="3">
        <f t="shared" si="6"/>
        <v>3299483</v>
      </c>
      <c r="BV107" s="3"/>
      <c r="BW107" s="14">
        <f>+BU107-GenBS!AC107</f>
        <v>0</v>
      </c>
    </row>
    <row r="108" spans="1:75" s="13" customFormat="1">
      <c r="A108" s="3" t="s">
        <v>268</v>
      </c>
      <c r="C108" s="13" t="s">
        <v>195</v>
      </c>
      <c r="E108" s="3">
        <v>981982</v>
      </c>
      <c r="F108" s="3"/>
      <c r="G108" s="3">
        <v>4696234</v>
      </c>
      <c r="H108" s="3"/>
      <c r="I108" s="3">
        <v>0</v>
      </c>
      <c r="J108" s="3"/>
      <c r="K108" s="3">
        <v>0</v>
      </c>
      <c r="L108" s="3"/>
      <c r="M108" s="3">
        <v>17392</v>
      </c>
      <c r="N108" s="3"/>
      <c r="O108" s="3">
        <v>4511906</v>
      </c>
      <c r="P108" s="3"/>
      <c r="Q108" s="3">
        <v>2252920</v>
      </c>
      <c r="R108" s="3"/>
      <c r="S108" s="3">
        <v>96235</v>
      </c>
      <c r="T108" s="3"/>
      <c r="U108" s="3">
        <v>1248148</v>
      </c>
      <c r="V108" s="3"/>
      <c r="W108" s="3">
        <v>601476</v>
      </c>
      <c r="X108" s="3"/>
      <c r="Y108" s="3">
        <v>197577</v>
      </c>
      <c r="Z108" s="3"/>
      <c r="AA108" s="3">
        <v>508276</v>
      </c>
      <c r="AB108" s="3" t="s">
        <v>268</v>
      </c>
      <c r="AD108" s="13" t="s">
        <v>195</v>
      </c>
      <c r="AF108" s="3">
        <v>132355</v>
      </c>
      <c r="AG108" s="3"/>
      <c r="AH108" s="3">
        <v>939962</v>
      </c>
      <c r="AI108" s="3"/>
      <c r="AJ108" s="3"/>
      <c r="AK108" s="3"/>
      <c r="AL108" s="3">
        <v>0</v>
      </c>
      <c r="AM108" s="3"/>
      <c r="AN108" s="3">
        <v>213759</v>
      </c>
      <c r="AO108" s="3"/>
      <c r="AP108" s="3">
        <v>0</v>
      </c>
      <c r="AQ108" s="3"/>
      <c r="AR108" s="3">
        <v>80915</v>
      </c>
      <c r="AS108" s="3"/>
      <c r="AT108" s="3"/>
      <c r="AU108" s="3"/>
      <c r="AV108" s="3">
        <v>0</v>
      </c>
      <c r="AW108" s="3"/>
      <c r="AX108" s="3">
        <v>0</v>
      </c>
      <c r="AY108" s="3"/>
      <c r="AZ108" s="3">
        <f t="shared" si="5"/>
        <v>16479137</v>
      </c>
      <c r="BA108" s="3"/>
      <c r="BB108" s="3">
        <v>129103</v>
      </c>
      <c r="BC108" s="3"/>
      <c r="BD108" s="3"/>
      <c r="BE108" s="3"/>
      <c r="BF108" s="3"/>
      <c r="BG108" s="3"/>
      <c r="BH108" s="3">
        <v>0</v>
      </c>
      <c r="BI108" s="3" t="s">
        <v>268</v>
      </c>
      <c r="BK108" s="13" t="s">
        <v>195</v>
      </c>
      <c r="BL108" s="3"/>
      <c r="BM108" s="3">
        <f t="shared" si="7"/>
        <v>16608240</v>
      </c>
      <c r="BN108" s="3"/>
      <c r="BO108" s="3">
        <f>GenRev!AU108-BM108</f>
        <v>-339216</v>
      </c>
      <c r="BP108" s="3"/>
      <c r="BQ108" s="3">
        <v>743119</v>
      </c>
      <c r="BR108" s="3"/>
      <c r="BS108" s="3">
        <v>0</v>
      </c>
      <c r="BT108" s="3"/>
      <c r="BU108" s="3">
        <f t="shared" si="6"/>
        <v>403903</v>
      </c>
      <c r="BV108" s="3"/>
      <c r="BW108" s="14">
        <f>+BU108-GenBS!AC108</f>
        <v>0</v>
      </c>
    </row>
    <row r="109" spans="1:75" s="13" customFormat="1">
      <c r="A109" s="13" t="s">
        <v>305</v>
      </c>
      <c r="C109" s="13" t="s">
        <v>162</v>
      </c>
      <c r="E109" s="3">
        <v>178326</v>
      </c>
      <c r="F109" s="3"/>
      <c r="G109" s="3">
        <v>5049414</v>
      </c>
      <c r="H109" s="3"/>
      <c r="I109" s="3">
        <v>0</v>
      </c>
      <c r="J109" s="3"/>
      <c r="K109" s="3">
        <v>0</v>
      </c>
      <c r="L109" s="3"/>
      <c r="M109" s="3">
        <v>0</v>
      </c>
      <c r="N109" s="3"/>
      <c r="O109" s="3">
        <v>5400230</v>
      </c>
      <c r="P109" s="3"/>
      <c r="Q109" s="3">
        <v>6591145</v>
      </c>
      <c r="R109" s="3"/>
      <c r="S109" s="3">
        <v>109721</v>
      </c>
      <c r="T109" s="3"/>
      <c r="U109" s="3">
        <v>558404</v>
      </c>
      <c r="V109" s="3"/>
      <c r="W109" s="3">
        <v>369734</v>
      </c>
      <c r="X109" s="3"/>
      <c r="Y109" s="3">
        <v>164814</v>
      </c>
      <c r="Z109" s="3"/>
      <c r="AA109" s="3">
        <v>519466</v>
      </c>
      <c r="AB109" s="13" t="s">
        <v>305</v>
      </c>
      <c r="AD109" s="13" t="s">
        <v>162</v>
      </c>
      <c r="AF109" s="3">
        <v>0</v>
      </c>
      <c r="AG109" s="3"/>
      <c r="AH109" s="3">
        <v>34647</v>
      </c>
      <c r="AI109" s="3"/>
      <c r="AJ109" s="3"/>
      <c r="AK109" s="3"/>
      <c r="AL109" s="3">
        <v>0</v>
      </c>
      <c r="AM109" s="3"/>
      <c r="AN109" s="3">
        <v>16655</v>
      </c>
      <c r="AO109" s="3"/>
      <c r="AP109" s="3">
        <v>23279</v>
      </c>
      <c r="AQ109" s="3"/>
      <c r="AR109" s="3">
        <v>0</v>
      </c>
      <c r="AS109" s="3"/>
      <c r="AT109" s="3"/>
      <c r="AU109" s="3"/>
      <c r="AV109" s="3">
        <v>0</v>
      </c>
      <c r="AW109" s="3"/>
      <c r="AX109" s="3">
        <v>0</v>
      </c>
      <c r="AY109" s="3"/>
      <c r="AZ109" s="3">
        <f t="shared" si="5"/>
        <v>19015835</v>
      </c>
      <c r="BA109" s="3"/>
      <c r="BB109" s="3">
        <v>0</v>
      </c>
      <c r="BC109" s="3"/>
      <c r="BD109" s="3"/>
      <c r="BE109" s="3"/>
      <c r="BF109" s="3"/>
      <c r="BG109" s="3"/>
      <c r="BH109" s="3">
        <v>0</v>
      </c>
      <c r="BI109" s="13" t="s">
        <v>305</v>
      </c>
      <c r="BK109" s="13" t="s">
        <v>162</v>
      </c>
      <c r="BL109" s="3"/>
      <c r="BM109" s="3">
        <f t="shared" si="7"/>
        <v>19015835</v>
      </c>
      <c r="BN109" s="3"/>
      <c r="BO109" s="3">
        <f>GenRev!AU109-BM109</f>
        <v>149556</v>
      </c>
      <c r="BP109" s="3"/>
      <c r="BQ109" s="3">
        <v>5129366</v>
      </c>
      <c r="BR109" s="3"/>
      <c r="BS109" s="3">
        <v>0</v>
      </c>
      <c r="BT109" s="3"/>
      <c r="BU109" s="3">
        <f t="shared" si="6"/>
        <v>5278922</v>
      </c>
      <c r="BV109" s="3"/>
      <c r="BW109" s="14">
        <f>+BU109-GenBS!AC109</f>
        <v>0</v>
      </c>
    </row>
    <row r="110" spans="1:75" s="13" customFormat="1">
      <c r="A110" s="3" t="s">
        <v>165</v>
      </c>
      <c r="C110" s="3" t="s">
        <v>327</v>
      </c>
      <c r="E110" s="3">
        <v>231634</v>
      </c>
      <c r="F110" s="3"/>
      <c r="G110" s="3">
        <v>6301391</v>
      </c>
      <c r="H110" s="3"/>
      <c r="I110" s="3">
        <v>0</v>
      </c>
      <c r="J110" s="3"/>
      <c r="K110" s="3">
        <v>0</v>
      </c>
      <c r="L110" s="3"/>
      <c r="M110" s="3">
        <v>0</v>
      </c>
      <c r="N110" s="3"/>
      <c r="O110" s="3">
        <v>4996592</v>
      </c>
      <c r="P110" s="3"/>
      <c r="Q110" s="3">
        <v>6310905</v>
      </c>
      <c r="R110" s="3"/>
      <c r="S110" s="3">
        <v>115839</v>
      </c>
      <c r="T110" s="3"/>
      <c r="U110" s="3">
        <v>704492</v>
      </c>
      <c r="V110" s="3"/>
      <c r="W110" s="3">
        <v>344482</v>
      </c>
      <c r="X110" s="3"/>
      <c r="Y110" s="3">
        <v>71227</v>
      </c>
      <c r="Z110" s="3"/>
      <c r="AA110" s="3">
        <v>387766</v>
      </c>
      <c r="AB110" s="3" t="s">
        <v>165</v>
      </c>
      <c r="AD110" s="3" t="s">
        <v>327</v>
      </c>
      <c r="AE110" s="3"/>
      <c r="AF110" s="3">
        <v>71558</v>
      </c>
      <c r="AG110" s="3"/>
      <c r="AH110" s="3">
        <v>96189</v>
      </c>
      <c r="AI110" s="3"/>
      <c r="AJ110" s="3"/>
      <c r="AK110" s="3"/>
      <c r="AL110" s="3">
        <v>0</v>
      </c>
      <c r="AM110" s="3"/>
      <c r="AN110" s="3">
        <v>0</v>
      </c>
      <c r="AO110" s="3"/>
      <c r="AP110" s="3">
        <v>0</v>
      </c>
      <c r="AQ110" s="3"/>
      <c r="AR110" s="3">
        <v>22430</v>
      </c>
      <c r="AS110" s="3"/>
      <c r="AT110" s="3"/>
      <c r="AU110" s="3"/>
      <c r="AV110" s="3">
        <v>0</v>
      </c>
      <c r="AW110" s="3"/>
      <c r="AX110" s="3">
        <v>0</v>
      </c>
      <c r="AY110" s="3"/>
      <c r="AZ110" s="3">
        <f t="shared" si="5"/>
        <v>19654505</v>
      </c>
      <c r="BA110" s="3"/>
      <c r="BB110" s="3">
        <v>0</v>
      </c>
      <c r="BC110" s="3"/>
      <c r="BD110" s="3"/>
      <c r="BE110" s="3"/>
      <c r="BF110" s="3"/>
      <c r="BG110" s="3"/>
      <c r="BH110" s="3">
        <v>0</v>
      </c>
      <c r="BI110" s="3" t="s">
        <v>165</v>
      </c>
      <c r="BK110" s="3" t="s">
        <v>327</v>
      </c>
      <c r="BL110" s="3"/>
      <c r="BM110" s="3">
        <f t="shared" si="7"/>
        <v>19654505</v>
      </c>
      <c r="BN110" s="3"/>
      <c r="BO110" s="3">
        <f>GenRev!AU110-BM110</f>
        <v>197202</v>
      </c>
      <c r="BP110" s="3"/>
      <c r="BQ110" s="3">
        <v>1021599</v>
      </c>
      <c r="BR110" s="3"/>
      <c r="BS110" s="3">
        <v>0</v>
      </c>
      <c r="BT110" s="3"/>
      <c r="BU110" s="3">
        <f t="shared" si="6"/>
        <v>1218801</v>
      </c>
      <c r="BV110" s="3"/>
      <c r="BW110" s="14">
        <f>+BU110-GenBS!AC110</f>
        <v>0</v>
      </c>
    </row>
    <row r="111" spans="1:75" s="13" customFormat="1">
      <c r="A111" s="3" t="s">
        <v>314</v>
      </c>
      <c r="C111" s="3" t="s">
        <v>262</v>
      </c>
      <c r="E111" s="3">
        <v>166952</v>
      </c>
      <c r="F111" s="3"/>
      <c r="G111" s="3">
        <v>2371035</v>
      </c>
      <c r="H111" s="3"/>
      <c r="I111" s="3">
        <v>0</v>
      </c>
      <c r="J111" s="3"/>
      <c r="K111" s="3">
        <v>45152</v>
      </c>
      <c r="L111" s="3"/>
      <c r="M111" s="3">
        <v>0</v>
      </c>
      <c r="N111" s="3"/>
      <c r="O111" s="3">
        <v>1769288</v>
      </c>
      <c r="P111" s="3"/>
      <c r="Q111" s="3">
        <v>2358521</v>
      </c>
      <c r="R111" s="3"/>
      <c r="S111" s="3">
        <v>40253</v>
      </c>
      <c r="T111" s="3"/>
      <c r="U111" s="3">
        <v>766225</v>
      </c>
      <c r="V111" s="3"/>
      <c r="W111" s="3">
        <v>284505</v>
      </c>
      <c r="X111" s="3"/>
      <c r="Y111" s="3">
        <v>0</v>
      </c>
      <c r="Z111" s="3"/>
      <c r="AA111" s="3">
        <v>72016</v>
      </c>
      <c r="AB111" s="3" t="s">
        <v>314</v>
      </c>
      <c r="AD111" s="3" t="s">
        <v>262</v>
      </c>
      <c r="AF111" s="3">
        <v>13665</v>
      </c>
      <c r="AG111" s="3"/>
      <c r="AH111" s="3">
        <v>27168</v>
      </c>
      <c r="AI111" s="3"/>
      <c r="AJ111" s="3"/>
      <c r="AK111" s="3"/>
      <c r="AL111" s="3">
        <v>0</v>
      </c>
      <c r="AM111" s="3"/>
      <c r="AN111" s="3">
        <v>2879</v>
      </c>
      <c r="AO111" s="3"/>
      <c r="AP111" s="3">
        <v>55141</v>
      </c>
      <c r="AQ111" s="3"/>
      <c r="AR111" s="3">
        <v>24274</v>
      </c>
      <c r="AS111" s="3"/>
      <c r="AT111" s="3"/>
      <c r="AU111" s="3"/>
      <c r="AV111" s="3">
        <v>6837</v>
      </c>
      <c r="AW111" s="3"/>
      <c r="AX111" s="3">
        <v>1255</v>
      </c>
      <c r="AY111" s="3"/>
      <c r="AZ111" s="3">
        <f t="shared" si="5"/>
        <v>8005166</v>
      </c>
      <c r="BA111" s="3"/>
      <c r="BB111" s="3">
        <v>30448</v>
      </c>
      <c r="BC111" s="3"/>
      <c r="BD111" s="3"/>
      <c r="BE111" s="3"/>
      <c r="BF111" s="3"/>
      <c r="BG111" s="3"/>
      <c r="BH111" s="3">
        <v>0</v>
      </c>
      <c r="BI111" s="3" t="s">
        <v>314</v>
      </c>
      <c r="BK111" s="3" t="s">
        <v>262</v>
      </c>
      <c r="BL111" s="3"/>
      <c r="BM111" s="3">
        <f t="shared" si="7"/>
        <v>8035614</v>
      </c>
      <c r="BN111" s="3"/>
      <c r="BO111" s="3">
        <f>GenRev!AU111-BM111</f>
        <v>-26570</v>
      </c>
      <c r="BP111" s="3"/>
      <c r="BQ111" s="3">
        <v>1292526</v>
      </c>
      <c r="BR111" s="3"/>
      <c r="BS111" s="3">
        <v>0</v>
      </c>
      <c r="BT111" s="3"/>
      <c r="BU111" s="3">
        <f t="shared" si="6"/>
        <v>1265956</v>
      </c>
      <c r="BV111" s="3"/>
      <c r="BW111" s="14">
        <f>+BU111-GenBS!AC111</f>
        <v>0</v>
      </c>
    </row>
    <row r="112" spans="1:75" s="13" customFormat="1" hidden="1">
      <c r="A112" s="3" t="s">
        <v>364</v>
      </c>
      <c r="C112" s="13" t="s">
        <v>186</v>
      </c>
      <c r="E112" s="3">
        <v>0</v>
      </c>
      <c r="F112" s="3"/>
      <c r="G112" s="3">
        <v>0</v>
      </c>
      <c r="H112" s="3"/>
      <c r="I112" s="3">
        <v>0</v>
      </c>
      <c r="J112" s="3"/>
      <c r="K112" s="3">
        <v>0</v>
      </c>
      <c r="L112" s="3"/>
      <c r="M112" s="3">
        <v>0</v>
      </c>
      <c r="N112" s="3"/>
      <c r="O112" s="3">
        <v>0</v>
      </c>
      <c r="P112" s="3"/>
      <c r="Q112" s="3">
        <v>0</v>
      </c>
      <c r="R112" s="3"/>
      <c r="S112" s="3">
        <v>0</v>
      </c>
      <c r="T112" s="3"/>
      <c r="U112" s="3">
        <v>0</v>
      </c>
      <c r="V112" s="3"/>
      <c r="W112" s="3">
        <v>0</v>
      </c>
      <c r="X112" s="3"/>
      <c r="Y112" s="3">
        <v>0</v>
      </c>
      <c r="Z112" s="3"/>
      <c r="AA112" s="3">
        <v>0</v>
      </c>
      <c r="AB112" s="3" t="s">
        <v>364</v>
      </c>
      <c r="AD112" s="13" t="s">
        <v>186</v>
      </c>
      <c r="AF112" s="3">
        <v>0</v>
      </c>
      <c r="AG112" s="3"/>
      <c r="AH112" s="3">
        <v>0</v>
      </c>
      <c r="AI112" s="3"/>
      <c r="AJ112" s="3"/>
      <c r="AK112" s="3"/>
      <c r="AL112" s="3">
        <v>0</v>
      </c>
      <c r="AM112" s="3"/>
      <c r="AN112" s="3">
        <v>0</v>
      </c>
      <c r="AO112" s="3"/>
      <c r="AP112" s="3">
        <v>0</v>
      </c>
      <c r="AQ112" s="3"/>
      <c r="AR112" s="3">
        <v>0</v>
      </c>
      <c r="AS112" s="3"/>
      <c r="AT112" s="3"/>
      <c r="AU112" s="3"/>
      <c r="AV112" s="3">
        <v>0</v>
      </c>
      <c r="AW112" s="3"/>
      <c r="AX112" s="3">
        <v>0</v>
      </c>
      <c r="AY112" s="3"/>
      <c r="AZ112" s="3">
        <f t="shared" si="5"/>
        <v>0</v>
      </c>
      <c r="BA112" s="3"/>
      <c r="BB112" s="3">
        <v>0</v>
      </c>
      <c r="BC112" s="3"/>
      <c r="BD112" s="3"/>
      <c r="BE112" s="3"/>
      <c r="BF112" s="3"/>
      <c r="BG112" s="3"/>
      <c r="BH112" s="3">
        <v>0</v>
      </c>
      <c r="BI112" s="3" t="s">
        <v>364</v>
      </c>
      <c r="BK112" s="13" t="s">
        <v>186</v>
      </c>
      <c r="BL112" s="3"/>
      <c r="BM112" s="3">
        <f t="shared" si="7"/>
        <v>0</v>
      </c>
      <c r="BN112" s="3"/>
      <c r="BO112" s="3">
        <f>GenRev!AU112-BM112</f>
        <v>0</v>
      </c>
      <c r="BP112" s="3"/>
      <c r="BQ112" s="3"/>
      <c r="BR112" s="3"/>
      <c r="BS112" s="3">
        <v>0</v>
      </c>
      <c r="BT112" s="3"/>
      <c r="BU112" s="3">
        <f t="shared" si="6"/>
        <v>0</v>
      </c>
      <c r="BV112" s="3"/>
      <c r="BW112" s="14">
        <f>+BU112-GenBS!AC112</f>
        <v>0</v>
      </c>
    </row>
    <row r="113" spans="1:75" s="13" customFormat="1">
      <c r="A113" s="3" t="s">
        <v>338</v>
      </c>
      <c r="C113" s="13" t="s">
        <v>187</v>
      </c>
      <c r="E113" s="3">
        <v>23703</v>
      </c>
      <c r="F113" s="3"/>
      <c r="G113" s="3">
        <v>355947</v>
      </c>
      <c r="H113" s="3"/>
      <c r="I113" s="3">
        <v>0</v>
      </c>
      <c r="J113" s="3"/>
      <c r="K113" s="3">
        <v>0</v>
      </c>
      <c r="L113" s="3"/>
      <c r="M113" s="3">
        <v>6775</v>
      </c>
      <c r="N113" s="3"/>
      <c r="O113" s="3">
        <v>1696505</v>
      </c>
      <c r="P113" s="3"/>
      <c r="Q113" s="3">
        <v>477728</v>
      </c>
      <c r="R113" s="3"/>
      <c r="S113" s="3">
        <v>37358</v>
      </c>
      <c r="T113" s="3"/>
      <c r="U113" s="3">
        <v>374031</v>
      </c>
      <c r="V113" s="3"/>
      <c r="W113" s="3">
        <v>136828</v>
      </c>
      <c r="X113" s="3"/>
      <c r="Y113" s="3">
        <v>18747</v>
      </c>
      <c r="Z113" s="3"/>
      <c r="AA113" s="3">
        <v>109676</v>
      </c>
      <c r="AB113" s="3" t="s">
        <v>338</v>
      </c>
      <c r="AD113" s="13" t="s">
        <v>187</v>
      </c>
      <c r="AF113" s="3">
        <v>36625</v>
      </c>
      <c r="AG113" s="3"/>
      <c r="AH113" s="3">
        <v>6880</v>
      </c>
      <c r="AI113" s="3"/>
      <c r="AJ113" s="3"/>
      <c r="AK113" s="3"/>
      <c r="AL113" s="3">
        <v>0</v>
      </c>
      <c r="AM113" s="3"/>
      <c r="AN113" s="3">
        <v>3144</v>
      </c>
      <c r="AO113" s="3"/>
      <c r="AP113" s="3">
        <v>0</v>
      </c>
      <c r="AQ113" s="3"/>
      <c r="AR113" s="3">
        <v>18773</v>
      </c>
      <c r="AS113" s="3"/>
      <c r="AT113" s="3"/>
      <c r="AU113" s="3"/>
      <c r="AV113" s="3">
        <v>0</v>
      </c>
      <c r="AW113" s="3"/>
      <c r="AX113" s="3">
        <v>0</v>
      </c>
      <c r="AY113" s="3"/>
      <c r="AZ113" s="3">
        <f t="shared" si="5"/>
        <v>3302720</v>
      </c>
      <c r="BA113" s="3"/>
      <c r="BB113" s="3">
        <v>0</v>
      </c>
      <c r="BC113" s="3"/>
      <c r="BD113" s="3"/>
      <c r="BE113" s="3"/>
      <c r="BF113" s="3"/>
      <c r="BG113" s="3"/>
      <c r="BH113" s="3">
        <v>0</v>
      </c>
      <c r="BI113" s="3" t="s">
        <v>338</v>
      </c>
      <c r="BK113" s="13" t="s">
        <v>187</v>
      </c>
      <c r="BL113" s="3"/>
      <c r="BM113" s="3">
        <f t="shared" si="7"/>
        <v>3302720</v>
      </c>
      <c r="BN113" s="3"/>
      <c r="BO113" s="3">
        <f>GenRev!AU113-BM113</f>
        <v>-11446</v>
      </c>
      <c r="BP113" s="3"/>
      <c r="BQ113" s="3">
        <v>449702</v>
      </c>
      <c r="BR113" s="3"/>
      <c r="BS113" s="3">
        <v>0</v>
      </c>
      <c r="BT113" s="3"/>
      <c r="BU113" s="3">
        <f t="shared" si="6"/>
        <v>438256</v>
      </c>
      <c r="BV113" s="3"/>
      <c r="BW113" s="14">
        <f>+BU113-GenBS!AC113</f>
        <v>0</v>
      </c>
    </row>
    <row r="114" spans="1:75" s="13" customFormat="1">
      <c r="A114" s="3" t="s">
        <v>329</v>
      </c>
      <c r="C114" s="13" t="s">
        <v>188</v>
      </c>
      <c r="E114" s="3">
        <v>131802</v>
      </c>
      <c r="F114" s="3"/>
      <c r="G114" s="3">
        <v>1463816</v>
      </c>
      <c r="H114" s="3"/>
      <c r="I114" s="3">
        <v>0</v>
      </c>
      <c r="J114" s="3"/>
      <c r="K114" s="3">
        <v>0</v>
      </c>
      <c r="L114" s="3"/>
      <c r="M114" s="3">
        <v>57994</v>
      </c>
      <c r="N114" s="3"/>
      <c r="O114" s="3">
        <v>1798550</v>
      </c>
      <c r="P114" s="3"/>
      <c r="Q114" s="3">
        <v>2135245</v>
      </c>
      <c r="R114" s="3"/>
      <c r="S114" s="3">
        <v>198717</v>
      </c>
      <c r="T114" s="3"/>
      <c r="U114" s="3">
        <v>674632</v>
      </c>
      <c r="V114" s="3"/>
      <c r="W114" s="3">
        <v>333218</v>
      </c>
      <c r="X114" s="3"/>
      <c r="Y114" s="3">
        <v>92736</v>
      </c>
      <c r="Z114" s="3"/>
      <c r="AA114" s="3">
        <v>97830</v>
      </c>
      <c r="AB114" s="3" t="s">
        <v>329</v>
      </c>
      <c r="AD114" s="13" t="s">
        <v>188</v>
      </c>
      <c r="AF114" s="3">
        <v>6934</v>
      </c>
      <c r="AG114" s="3"/>
      <c r="AH114" s="3">
        <v>0</v>
      </c>
      <c r="AI114" s="3"/>
      <c r="AJ114" s="3"/>
      <c r="AK114" s="3"/>
      <c r="AL114" s="3">
        <v>0</v>
      </c>
      <c r="AM114" s="3"/>
      <c r="AN114" s="3">
        <v>505</v>
      </c>
      <c r="AO114" s="3"/>
      <c r="AP114" s="3">
        <v>17623</v>
      </c>
      <c r="AQ114" s="3"/>
      <c r="AR114" s="3">
        <v>0</v>
      </c>
      <c r="AS114" s="3"/>
      <c r="AT114" s="3"/>
      <c r="AU114" s="3"/>
      <c r="AV114" s="3">
        <v>6786</v>
      </c>
      <c r="AW114" s="3"/>
      <c r="AX114" s="3">
        <v>1902</v>
      </c>
      <c r="AY114" s="3"/>
      <c r="AZ114" s="3">
        <f t="shared" si="5"/>
        <v>7018290</v>
      </c>
      <c r="BA114" s="3"/>
      <c r="BB114" s="3">
        <v>0</v>
      </c>
      <c r="BC114" s="3"/>
      <c r="BD114" s="3"/>
      <c r="BE114" s="3"/>
      <c r="BF114" s="3"/>
      <c r="BG114" s="3"/>
      <c r="BH114" s="3">
        <v>0</v>
      </c>
      <c r="BI114" s="3" t="s">
        <v>329</v>
      </c>
      <c r="BK114" s="13" t="s">
        <v>188</v>
      </c>
      <c r="BL114" s="3"/>
      <c r="BM114" s="3">
        <f t="shared" si="7"/>
        <v>7018290</v>
      </c>
      <c r="BN114" s="3"/>
      <c r="BO114" s="3">
        <f>GenRev!AU114-BM114</f>
        <v>63793</v>
      </c>
      <c r="BP114" s="3"/>
      <c r="BQ114" s="3">
        <v>226174</v>
      </c>
      <c r="BR114" s="3"/>
      <c r="BS114" s="3">
        <v>0</v>
      </c>
      <c r="BT114" s="3"/>
      <c r="BU114" s="3">
        <f t="shared" si="6"/>
        <v>289967</v>
      </c>
      <c r="BV114" s="3"/>
      <c r="BW114" s="14">
        <f>+BU114-GenBS!AC114</f>
        <v>0</v>
      </c>
    </row>
    <row r="115" spans="1:75" s="13" customFormat="1" hidden="1">
      <c r="A115" s="13" t="s">
        <v>330</v>
      </c>
      <c r="C115" s="13" t="s">
        <v>189</v>
      </c>
      <c r="E115" s="3">
        <v>0</v>
      </c>
      <c r="F115" s="3"/>
      <c r="G115" s="3">
        <v>0</v>
      </c>
      <c r="H115" s="3"/>
      <c r="I115" s="3">
        <v>0</v>
      </c>
      <c r="J115" s="3"/>
      <c r="K115" s="3">
        <v>0</v>
      </c>
      <c r="L115" s="3"/>
      <c r="M115" s="3">
        <v>0</v>
      </c>
      <c r="N115" s="3"/>
      <c r="O115" s="3">
        <v>0</v>
      </c>
      <c r="P115" s="3"/>
      <c r="Q115" s="3">
        <v>0</v>
      </c>
      <c r="R115" s="3"/>
      <c r="S115" s="3">
        <v>0</v>
      </c>
      <c r="T115" s="3"/>
      <c r="U115" s="3">
        <v>0</v>
      </c>
      <c r="V115" s="3"/>
      <c r="W115" s="3">
        <v>0</v>
      </c>
      <c r="X115" s="3"/>
      <c r="Y115" s="3">
        <v>0</v>
      </c>
      <c r="Z115" s="3"/>
      <c r="AA115" s="3">
        <v>0</v>
      </c>
      <c r="AB115" s="13" t="s">
        <v>330</v>
      </c>
      <c r="AD115" s="13" t="s">
        <v>189</v>
      </c>
      <c r="AF115" s="3">
        <v>0</v>
      </c>
      <c r="AG115" s="3"/>
      <c r="AH115" s="3">
        <v>0</v>
      </c>
      <c r="AI115" s="3"/>
      <c r="AJ115" s="3"/>
      <c r="AK115" s="3"/>
      <c r="AL115" s="3">
        <v>0</v>
      </c>
      <c r="AM115" s="3"/>
      <c r="AN115" s="3">
        <v>0</v>
      </c>
      <c r="AO115" s="3"/>
      <c r="AP115" s="3">
        <v>0</v>
      </c>
      <c r="AQ115" s="3"/>
      <c r="AR115" s="3">
        <v>0</v>
      </c>
      <c r="AS115" s="3"/>
      <c r="AT115" s="3"/>
      <c r="AU115" s="3"/>
      <c r="AV115" s="3">
        <v>0</v>
      </c>
      <c r="AW115" s="3"/>
      <c r="AX115" s="3">
        <v>0</v>
      </c>
      <c r="AY115" s="3"/>
      <c r="AZ115" s="3">
        <f t="shared" si="5"/>
        <v>0</v>
      </c>
      <c r="BA115" s="3"/>
      <c r="BB115" s="3">
        <v>0</v>
      </c>
      <c r="BC115" s="3"/>
      <c r="BD115" s="3"/>
      <c r="BE115" s="3"/>
      <c r="BF115" s="3"/>
      <c r="BG115" s="3"/>
      <c r="BH115" s="3">
        <v>0</v>
      </c>
      <c r="BI115" s="13" t="s">
        <v>330</v>
      </c>
      <c r="BK115" s="13" t="s">
        <v>189</v>
      </c>
      <c r="BL115" s="3"/>
      <c r="BM115" s="3">
        <f t="shared" si="7"/>
        <v>0</v>
      </c>
      <c r="BN115" s="3"/>
      <c r="BO115" s="3">
        <f>GenRev!AU115-BM115</f>
        <v>0</v>
      </c>
      <c r="BP115" s="3"/>
      <c r="BQ115" s="3"/>
      <c r="BR115" s="3"/>
      <c r="BS115" s="3"/>
      <c r="BT115" s="3"/>
      <c r="BU115" s="3">
        <f t="shared" si="6"/>
        <v>0</v>
      </c>
      <c r="BV115" s="3"/>
      <c r="BW115" s="14">
        <f>+BU115-GenBS!AC115</f>
        <v>0</v>
      </c>
    </row>
    <row r="116" spans="1:75" s="13" customFormat="1">
      <c r="A116" s="3" t="s">
        <v>331</v>
      </c>
      <c r="C116" s="13" t="s">
        <v>190</v>
      </c>
      <c r="E116" s="3">
        <v>20531</v>
      </c>
      <c r="F116" s="3"/>
      <c r="G116" s="3">
        <v>780047</v>
      </c>
      <c r="H116" s="3"/>
      <c r="I116" s="3">
        <v>0</v>
      </c>
      <c r="J116" s="3"/>
      <c r="K116" s="3">
        <v>0</v>
      </c>
      <c r="L116" s="3"/>
      <c r="M116" s="3">
        <v>142</v>
      </c>
      <c r="N116" s="3"/>
      <c r="O116" s="3">
        <v>559402</v>
      </c>
      <c r="P116" s="3"/>
      <c r="Q116" s="3">
        <v>869375</v>
      </c>
      <c r="R116" s="3"/>
      <c r="S116" s="3">
        <v>30005</v>
      </c>
      <c r="T116" s="3"/>
      <c r="U116" s="3">
        <v>218115</v>
      </c>
      <c r="V116" s="3"/>
      <c r="W116" s="3">
        <v>266124</v>
      </c>
      <c r="X116" s="3"/>
      <c r="Y116" s="3">
        <v>0</v>
      </c>
      <c r="Z116" s="3"/>
      <c r="AA116" s="3">
        <v>30139</v>
      </c>
      <c r="AB116" s="3" t="s">
        <v>331</v>
      </c>
      <c r="AD116" s="13" t="s">
        <v>190</v>
      </c>
      <c r="AF116" s="3">
        <v>7155</v>
      </c>
      <c r="AG116" s="3"/>
      <c r="AH116" s="3">
        <v>2709</v>
      </c>
      <c r="AI116" s="3"/>
      <c r="AJ116" s="3"/>
      <c r="AK116" s="3"/>
      <c r="AL116" s="3">
        <v>0</v>
      </c>
      <c r="AM116" s="3"/>
      <c r="AN116" s="3">
        <v>7056</v>
      </c>
      <c r="AO116" s="3"/>
      <c r="AP116" s="3">
        <v>0</v>
      </c>
      <c r="AQ116" s="3"/>
      <c r="AR116" s="3">
        <v>62180</v>
      </c>
      <c r="AS116" s="3"/>
      <c r="AT116" s="3"/>
      <c r="AU116" s="3"/>
      <c r="AV116" s="3">
        <v>68457</v>
      </c>
      <c r="AW116" s="3"/>
      <c r="AX116" s="3">
        <v>30961</v>
      </c>
      <c r="AY116" s="3"/>
      <c r="AZ116" s="3">
        <f t="shared" si="5"/>
        <v>2952398</v>
      </c>
      <c r="BA116" s="3"/>
      <c r="BB116" s="3">
        <v>0</v>
      </c>
      <c r="BC116" s="3"/>
      <c r="BD116" s="3"/>
      <c r="BE116" s="3"/>
      <c r="BF116" s="3"/>
      <c r="BG116" s="3"/>
      <c r="BH116" s="3">
        <v>0</v>
      </c>
      <c r="BI116" s="3" t="s">
        <v>331</v>
      </c>
      <c r="BK116" s="13" t="s">
        <v>190</v>
      </c>
      <c r="BL116" s="3"/>
      <c r="BM116" s="3">
        <f t="shared" si="7"/>
        <v>2952398</v>
      </c>
      <c r="BN116" s="3"/>
      <c r="BO116" s="3">
        <f>GenRev!AU116-BM116</f>
        <v>-40818</v>
      </c>
      <c r="BP116" s="3"/>
      <c r="BQ116" s="3">
        <v>965658</v>
      </c>
      <c r="BR116" s="3"/>
      <c r="BS116" s="3">
        <v>0</v>
      </c>
      <c r="BT116" s="3"/>
      <c r="BU116" s="3">
        <f t="shared" si="6"/>
        <v>924840</v>
      </c>
      <c r="BV116" s="3"/>
      <c r="BW116" s="14">
        <f>+BU116-GenBS!AC116</f>
        <v>0</v>
      </c>
    </row>
    <row r="117" spans="1:75" s="13" customFormat="1">
      <c r="A117" s="3" t="s">
        <v>332</v>
      </c>
      <c r="C117" s="13" t="s">
        <v>192</v>
      </c>
      <c r="E117" s="3">
        <v>45655</v>
      </c>
      <c r="F117" s="3"/>
      <c r="G117" s="3">
        <v>3503066</v>
      </c>
      <c r="H117" s="3"/>
      <c r="I117" s="3">
        <v>0</v>
      </c>
      <c r="J117" s="3"/>
      <c r="K117" s="3">
        <v>0</v>
      </c>
      <c r="L117" s="3"/>
      <c r="M117" s="3">
        <v>12689</v>
      </c>
      <c r="N117" s="3"/>
      <c r="O117" s="3">
        <v>1620541</v>
      </c>
      <c r="P117" s="3"/>
      <c r="Q117" s="3">
        <v>932315</v>
      </c>
      <c r="R117" s="3"/>
      <c r="S117" s="3">
        <v>61849</v>
      </c>
      <c r="T117" s="3"/>
      <c r="U117" s="3">
        <v>770690</v>
      </c>
      <c r="V117" s="3"/>
      <c r="W117" s="3">
        <v>206167</v>
      </c>
      <c r="X117" s="3"/>
      <c r="Y117" s="3">
        <v>0</v>
      </c>
      <c r="Z117" s="3"/>
      <c r="AA117" s="3">
        <v>121506</v>
      </c>
      <c r="AB117" s="3" t="s">
        <v>332</v>
      </c>
      <c r="AD117" s="13" t="s">
        <v>192</v>
      </c>
      <c r="AF117" s="3">
        <v>0</v>
      </c>
      <c r="AG117" s="3"/>
      <c r="AH117" s="3">
        <v>40423</v>
      </c>
      <c r="AI117" s="3"/>
      <c r="AJ117" s="3"/>
      <c r="AK117" s="3"/>
      <c r="AL117" s="3">
        <v>0</v>
      </c>
      <c r="AM117" s="3"/>
      <c r="AN117" s="3">
        <v>3743</v>
      </c>
      <c r="AO117" s="3"/>
      <c r="AP117" s="3">
        <v>0</v>
      </c>
      <c r="AQ117" s="3"/>
      <c r="AR117" s="3">
        <v>0</v>
      </c>
      <c r="AS117" s="3"/>
      <c r="AT117" s="3"/>
      <c r="AU117" s="3"/>
      <c r="AV117" s="3">
        <v>0</v>
      </c>
      <c r="AW117" s="3"/>
      <c r="AX117" s="3">
        <v>0</v>
      </c>
      <c r="AY117" s="3"/>
      <c r="AZ117" s="3">
        <f t="shared" si="5"/>
        <v>7318644</v>
      </c>
      <c r="BA117" s="3"/>
      <c r="BB117" s="3">
        <v>0</v>
      </c>
      <c r="BC117" s="3"/>
      <c r="BD117" s="3"/>
      <c r="BE117" s="3"/>
      <c r="BF117" s="3"/>
      <c r="BG117" s="3"/>
      <c r="BH117" s="3">
        <v>0</v>
      </c>
      <c r="BI117" s="3" t="s">
        <v>332</v>
      </c>
      <c r="BK117" s="13" t="s">
        <v>192</v>
      </c>
      <c r="BL117" s="3"/>
      <c r="BM117" s="3">
        <f t="shared" si="7"/>
        <v>7318644</v>
      </c>
      <c r="BN117" s="3"/>
      <c r="BO117" s="3">
        <f>GenRev!AU117-BM117</f>
        <v>-128930</v>
      </c>
      <c r="BP117" s="3"/>
      <c r="BQ117" s="3">
        <v>2962046</v>
      </c>
      <c r="BR117" s="3"/>
      <c r="BS117" s="3">
        <v>0</v>
      </c>
      <c r="BT117" s="3"/>
      <c r="BU117" s="3">
        <f t="shared" si="6"/>
        <v>2833116</v>
      </c>
      <c r="BV117" s="3"/>
      <c r="BW117" s="14">
        <f>+BU117-GenBS!AC117</f>
        <v>0</v>
      </c>
    </row>
    <row r="118" spans="1:75" s="13" customFormat="1" ht="11.25" hidden="1" customHeight="1">
      <c r="A118" s="3" t="s">
        <v>306</v>
      </c>
      <c r="C118" s="13" t="s">
        <v>193</v>
      </c>
      <c r="E118" s="3">
        <v>0</v>
      </c>
      <c r="F118" s="3"/>
      <c r="G118" s="3">
        <v>0</v>
      </c>
      <c r="H118" s="3"/>
      <c r="I118" s="3">
        <v>0</v>
      </c>
      <c r="J118" s="3"/>
      <c r="K118" s="3">
        <v>0</v>
      </c>
      <c r="L118" s="3"/>
      <c r="M118" s="3">
        <v>0</v>
      </c>
      <c r="N118" s="3"/>
      <c r="O118" s="3">
        <v>0</v>
      </c>
      <c r="P118" s="3"/>
      <c r="Q118" s="3">
        <v>0</v>
      </c>
      <c r="R118" s="3"/>
      <c r="S118" s="3">
        <v>0</v>
      </c>
      <c r="T118" s="3"/>
      <c r="U118" s="3">
        <v>0</v>
      </c>
      <c r="V118" s="3"/>
      <c r="W118" s="3">
        <v>0</v>
      </c>
      <c r="X118" s="3"/>
      <c r="Y118" s="3">
        <v>0</v>
      </c>
      <c r="Z118" s="3"/>
      <c r="AA118" s="3">
        <v>0</v>
      </c>
      <c r="AB118" s="3" t="s">
        <v>306</v>
      </c>
      <c r="AD118" s="13" t="s">
        <v>193</v>
      </c>
      <c r="AF118" s="3">
        <v>0</v>
      </c>
      <c r="AG118" s="3"/>
      <c r="AH118" s="3">
        <v>0</v>
      </c>
      <c r="AI118" s="3"/>
      <c r="AJ118" s="3"/>
      <c r="AK118" s="3"/>
      <c r="AL118" s="3">
        <v>0</v>
      </c>
      <c r="AM118" s="3"/>
      <c r="AN118" s="3">
        <v>0</v>
      </c>
      <c r="AO118" s="3"/>
      <c r="AP118" s="3">
        <v>0</v>
      </c>
      <c r="AQ118" s="3"/>
      <c r="AR118" s="3">
        <v>0</v>
      </c>
      <c r="AS118" s="3"/>
      <c r="AT118" s="3"/>
      <c r="AU118" s="3"/>
      <c r="AV118" s="3">
        <v>0</v>
      </c>
      <c r="AW118" s="3"/>
      <c r="AX118" s="3">
        <v>0</v>
      </c>
      <c r="AY118" s="3"/>
      <c r="AZ118" s="3">
        <f t="shared" si="5"/>
        <v>0</v>
      </c>
      <c r="BA118" s="3"/>
      <c r="BB118" s="3">
        <v>0</v>
      </c>
      <c r="BC118" s="3"/>
      <c r="BD118" s="3"/>
      <c r="BE118" s="3"/>
      <c r="BF118" s="3"/>
      <c r="BG118" s="3"/>
      <c r="BH118" s="3">
        <v>0</v>
      </c>
      <c r="BI118" s="3" t="s">
        <v>306</v>
      </c>
      <c r="BK118" s="13" t="s">
        <v>193</v>
      </c>
      <c r="BL118" s="3"/>
      <c r="BM118" s="3">
        <f t="shared" si="7"/>
        <v>0</v>
      </c>
      <c r="BN118" s="3"/>
      <c r="BO118" s="3">
        <f>GenRev!AU118-BM118</f>
        <v>0</v>
      </c>
      <c r="BP118" s="3"/>
      <c r="BQ118" s="3"/>
      <c r="BR118" s="3"/>
      <c r="BS118" s="3"/>
      <c r="BT118" s="3"/>
      <c r="BU118" s="3">
        <f t="shared" si="6"/>
        <v>0</v>
      </c>
      <c r="BV118" s="3"/>
      <c r="BW118" s="14">
        <f>+BU118-GenBS!AC118</f>
        <v>0</v>
      </c>
    </row>
    <row r="119" spans="1:75" s="13" customFormat="1" hidden="1">
      <c r="A119" s="3" t="s">
        <v>376</v>
      </c>
      <c r="C119" s="13" t="s">
        <v>196</v>
      </c>
      <c r="E119" s="3">
        <v>0</v>
      </c>
      <c r="F119" s="3"/>
      <c r="G119" s="3">
        <v>0</v>
      </c>
      <c r="H119" s="3"/>
      <c r="I119" s="3">
        <v>0</v>
      </c>
      <c r="J119" s="3"/>
      <c r="K119" s="3">
        <v>0</v>
      </c>
      <c r="L119" s="3"/>
      <c r="M119" s="3">
        <v>0</v>
      </c>
      <c r="N119" s="3"/>
      <c r="O119" s="3">
        <v>0</v>
      </c>
      <c r="P119" s="3"/>
      <c r="Q119" s="3">
        <v>0</v>
      </c>
      <c r="R119" s="3"/>
      <c r="S119" s="3">
        <v>0</v>
      </c>
      <c r="T119" s="3"/>
      <c r="U119" s="3">
        <v>0</v>
      </c>
      <c r="V119" s="3"/>
      <c r="W119" s="3">
        <v>0</v>
      </c>
      <c r="X119" s="3"/>
      <c r="Y119" s="3">
        <v>0</v>
      </c>
      <c r="Z119" s="3"/>
      <c r="AA119" s="3">
        <v>0</v>
      </c>
      <c r="AB119" s="3" t="s">
        <v>376</v>
      </c>
      <c r="AD119" s="13" t="s">
        <v>196</v>
      </c>
      <c r="AF119" s="3">
        <v>0</v>
      </c>
      <c r="AG119" s="3"/>
      <c r="AH119" s="3">
        <v>0</v>
      </c>
      <c r="AI119" s="3"/>
      <c r="AJ119" s="3"/>
      <c r="AK119" s="3"/>
      <c r="AL119" s="3">
        <v>0</v>
      </c>
      <c r="AM119" s="3"/>
      <c r="AN119" s="3">
        <v>0</v>
      </c>
      <c r="AO119" s="3"/>
      <c r="AP119" s="3">
        <v>0</v>
      </c>
      <c r="AQ119" s="3"/>
      <c r="AR119" s="3">
        <v>0</v>
      </c>
      <c r="AS119" s="3"/>
      <c r="AT119" s="3"/>
      <c r="AU119" s="3"/>
      <c r="AV119" s="3">
        <v>0</v>
      </c>
      <c r="AW119" s="3"/>
      <c r="AX119" s="3">
        <v>0</v>
      </c>
      <c r="AY119" s="3"/>
      <c r="AZ119" s="3">
        <f t="shared" si="5"/>
        <v>0</v>
      </c>
      <c r="BA119" s="3"/>
      <c r="BB119" s="3">
        <v>0</v>
      </c>
      <c r="BC119" s="3"/>
      <c r="BD119" s="3"/>
      <c r="BE119" s="3"/>
      <c r="BF119" s="3"/>
      <c r="BG119" s="3"/>
      <c r="BH119" s="3">
        <v>0</v>
      </c>
      <c r="BI119" s="3" t="s">
        <v>376</v>
      </c>
      <c r="BK119" s="13" t="s">
        <v>196</v>
      </c>
      <c r="BL119" s="3"/>
      <c r="BM119" s="3">
        <f t="shared" si="7"/>
        <v>0</v>
      </c>
      <c r="BN119" s="3"/>
      <c r="BO119" s="3">
        <f>GenRev!AU119-BM119</f>
        <v>0</v>
      </c>
      <c r="BP119" s="3"/>
      <c r="BQ119" s="3">
        <v>0</v>
      </c>
      <c r="BR119" s="3"/>
      <c r="BS119" s="3">
        <v>0</v>
      </c>
      <c r="BT119" s="3"/>
      <c r="BU119" s="3">
        <f t="shared" si="6"/>
        <v>0</v>
      </c>
      <c r="BV119" s="3"/>
      <c r="BW119" s="14">
        <f>+BU119-GenBS!AC119</f>
        <v>0</v>
      </c>
    </row>
    <row r="120" spans="1:75" s="13" customFormat="1">
      <c r="A120" s="3" t="s">
        <v>266</v>
      </c>
      <c r="C120" s="13" t="s">
        <v>194</v>
      </c>
      <c r="E120" s="3">
        <v>343651</v>
      </c>
      <c r="F120" s="3"/>
      <c r="G120" s="3">
        <v>3737088</v>
      </c>
      <c r="H120" s="3"/>
      <c r="I120" s="3">
        <v>0</v>
      </c>
      <c r="J120" s="3"/>
      <c r="K120" s="3">
        <v>24684</v>
      </c>
      <c r="L120" s="3"/>
      <c r="M120" s="3">
        <v>0</v>
      </c>
      <c r="N120" s="3"/>
      <c r="O120" s="3">
        <v>1989030</v>
      </c>
      <c r="P120" s="3"/>
      <c r="Q120" s="3">
        <v>884871</v>
      </c>
      <c r="R120" s="3"/>
      <c r="S120" s="3">
        <v>29552</v>
      </c>
      <c r="T120" s="3"/>
      <c r="U120" s="3">
        <v>682928</v>
      </c>
      <c r="V120" s="3"/>
      <c r="W120" s="3">
        <v>225760</v>
      </c>
      <c r="X120" s="3"/>
      <c r="Y120" s="3">
        <v>0</v>
      </c>
      <c r="Z120" s="3"/>
      <c r="AA120" s="3">
        <v>108640</v>
      </c>
      <c r="AB120" s="3" t="s">
        <v>266</v>
      </c>
      <c r="AD120" s="13" t="s">
        <v>194</v>
      </c>
      <c r="AF120" s="3">
        <v>3536</v>
      </c>
      <c r="AG120" s="3"/>
      <c r="AH120" s="3">
        <v>170597</v>
      </c>
      <c r="AI120" s="3"/>
      <c r="AJ120" s="3"/>
      <c r="AK120" s="3"/>
      <c r="AL120" s="3">
        <v>0</v>
      </c>
      <c r="AM120" s="3"/>
      <c r="AN120" s="3">
        <v>0</v>
      </c>
      <c r="AO120" s="3"/>
      <c r="AP120" s="3">
        <v>0</v>
      </c>
      <c r="AQ120" s="3"/>
      <c r="AR120" s="3">
        <v>0</v>
      </c>
      <c r="AS120" s="3"/>
      <c r="AT120" s="3"/>
      <c r="AU120" s="3"/>
      <c r="AV120" s="3">
        <v>14340</v>
      </c>
      <c r="AW120" s="3"/>
      <c r="AX120" s="3">
        <v>371</v>
      </c>
      <c r="AY120" s="3"/>
      <c r="AZ120" s="3">
        <f t="shared" si="5"/>
        <v>8215048</v>
      </c>
      <c r="BA120" s="3"/>
      <c r="BB120" s="3">
        <v>0</v>
      </c>
      <c r="BC120" s="3"/>
      <c r="BD120" s="3"/>
      <c r="BE120" s="3"/>
      <c r="BF120" s="3"/>
      <c r="BG120" s="3"/>
      <c r="BH120" s="3">
        <v>0</v>
      </c>
      <c r="BI120" s="3" t="s">
        <v>266</v>
      </c>
      <c r="BK120" s="13" t="s">
        <v>194</v>
      </c>
      <c r="BL120" s="3"/>
      <c r="BM120" s="3">
        <f t="shared" si="7"/>
        <v>8215048</v>
      </c>
      <c r="BN120" s="3"/>
      <c r="BO120" s="3">
        <f>GenRev!AU120-BM120</f>
        <v>191157</v>
      </c>
      <c r="BP120" s="3"/>
      <c r="BQ120" s="3">
        <v>894505</v>
      </c>
      <c r="BR120" s="3"/>
      <c r="BS120" s="3">
        <v>0</v>
      </c>
      <c r="BT120" s="3"/>
      <c r="BU120" s="3">
        <f t="shared" si="6"/>
        <v>1085662</v>
      </c>
      <c r="BV120" s="3"/>
      <c r="BW120" s="14">
        <f>+BU120-GenBS!AC120</f>
        <v>0</v>
      </c>
    </row>
    <row r="121" spans="1:75" s="13" customFormat="1">
      <c r="A121" s="3" t="s">
        <v>265</v>
      </c>
      <c r="B121" s="3"/>
      <c r="C121" s="3" t="s">
        <v>157</v>
      </c>
      <c r="E121" s="3">
        <v>204677</v>
      </c>
      <c r="F121" s="3"/>
      <c r="G121" s="3">
        <v>567952</v>
      </c>
      <c r="H121" s="3"/>
      <c r="I121" s="3">
        <v>0</v>
      </c>
      <c r="J121" s="3"/>
      <c r="K121" s="3">
        <v>0</v>
      </c>
      <c r="L121" s="3"/>
      <c r="M121" s="3">
        <v>0</v>
      </c>
      <c r="N121" s="3"/>
      <c r="O121" s="3">
        <v>464161</v>
      </c>
      <c r="P121" s="3"/>
      <c r="Q121" s="3">
        <v>1165672</v>
      </c>
      <c r="R121" s="3"/>
      <c r="S121" s="3">
        <v>0</v>
      </c>
      <c r="T121" s="3"/>
      <c r="U121" s="3">
        <f>38466+528430</f>
        <v>566896</v>
      </c>
      <c r="V121" s="3"/>
      <c r="W121" s="3">
        <v>244913</v>
      </c>
      <c r="X121" s="3"/>
      <c r="Y121" s="3">
        <v>0</v>
      </c>
      <c r="Z121" s="3"/>
      <c r="AA121" s="3">
        <v>68773</v>
      </c>
      <c r="AB121" s="3" t="s">
        <v>265</v>
      </c>
      <c r="AC121" s="3"/>
      <c r="AD121" s="3" t="s">
        <v>157</v>
      </c>
      <c r="AE121" s="3"/>
      <c r="AF121" s="3">
        <v>0</v>
      </c>
      <c r="AG121" s="3"/>
      <c r="AH121" s="3">
        <v>302291</v>
      </c>
      <c r="AI121" s="3"/>
      <c r="AJ121" s="3"/>
      <c r="AK121" s="3"/>
      <c r="AL121" s="3">
        <v>0</v>
      </c>
      <c r="AM121" s="3"/>
      <c r="AN121" s="3">
        <v>0</v>
      </c>
      <c r="AO121" s="3"/>
      <c r="AP121" s="3">
        <v>0</v>
      </c>
      <c r="AQ121" s="3"/>
      <c r="AR121" s="3">
        <v>0</v>
      </c>
      <c r="AS121" s="3"/>
      <c r="AT121" s="3"/>
      <c r="AU121" s="3"/>
      <c r="AV121" s="3">
        <v>0</v>
      </c>
      <c r="AW121" s="3"/>
      <c r="AX121" s="3">
        <v>0</v>
      </c>
      <c r="AY121" s="3"/>
      <c r="AZ121" s="3">
        <f t="shared" si="5"/>
        <v>3585335</v>
      </c>
      <c r="BA121" s="3"/>
      <c r="BB121" s="3">
        <v>0</v>
      </c>
      <c r="BC121" s="3"/>
      <c r="BD121" s="3"/>
      <c r="BE121" s="3"/>
      <c r="BF121" s="3"/>
      <c r="BG121" s="3"/>
      <c r="BH121" s="3">
        <v>0</v>
      </c>
      <c r="BI121" s="3" t="s">
        <v>265</v>
      </c>
      <c r="BJ121" s="3"/>
      <c r="BK121" s="3" t="s">
        <v>157</v>
      </c>
      <c r="BL121" s="3"/>
      <c r="BM121" s="3">
        <f t="shared" si="7"/>
        <v>3585335</v>
      </c>
      <c r="BN121" s="3"/>
      <c r="BO121" s="3">
        <f>GenRev!AU121-BM121</f>
        <v>76540</v>
      </c>
      <c r="BP121" s="3"/>
      <c r="BQ121" s="3">
        <v>2428143</v>
      </c>
      <c r="BR121" s="3"/>
      <c r="BS121" s="3">
        <v>0</v>
      </c>
      <c r="BT121" s="3"/>
      <c r="BU121" s="3">
        <f t="shared" si="6"/>
        <v>2504683</v>
      </c>
      <c r="BV121" s="3"/>
      <c r="BW121" s="14">
        <f>+BU121-GenBS!AC121</f>
        <v>0</v>
      </c>
    </row>
    <row r="122" spans="1:75" s="13" customFormat="1">
      <c r="A122" s="13" t="s">
        <v>336</v>
      </c>
      <c r="C122" s="13" t="s">
        <v>197</v>
      </c>
      <c r="E122" s="3">
        <v>0</v>
      </c>
      <c r="F122" s="3"/>
      <c r="G122" s="3">
        <v>4799315</v>
      </c>
      <c r="H122" s="3"/>
      <c r="I122" s="3">
        <v>0</v>
      </c>
      <c r="J122" s="3"/>
      <c r="K122" s="3">
        <v>0</v>
      </c>
      <c r="L122" s="3"/>
      <c r="M122" s="3">
        <v>0</v>
      </c>
      <c r="N122" s="3"/>
      <c r="O122" s="3">
        <v>2957990</v>
      </c>
      <c r="P122" s="3"/>
      <c r="Q122" s="3">
        <v>4365188</v>
      </c>
      <c r="R122" s="3"/>
      <c r="S122" s="3">
        <v>22457</v>
      </c>
      <c r="T122" s="3"/>
      <c r="U122" s="3">
        <v>3061675</v>
      </c>
      <c r="V122" s="3"/>
      <c r="W122" s="3">
        <v>373857</v>
      </c>
      <c r="X122" s="3"/>
      <c r="Y122" s="3">
        <v>672117</v>
      </c>
      <c r="Z122" s="3"/>
      <c r="AA122" s="3">
        <v>178887</v>
      </c>
      <c r="AB122" s="13" t="s">
        <v>336</v>
      </c>
      <c r="AD122" s="13" t="s">
        <v>197</v>
      </c>
      <c r="AF122" s="3">
        <v>0</v>
      </c>
      <c r="AG122" s="3"/>
      <c r="AH122" s="3">
        <v>40084</v>
      </c>
      <c r="AI122" s="3"/>
      <c r="AJ122" s="3"/>
      <c r="AK122" s="3"/>
      <c r="AL122" s="3">
        <v>0</v>
      </c>
      <c r="AM122" s="3"/>
      <c r="AN122" s="3">
        <v>0</v>
      </c>
      <c r="AO122" s="3"/>
      <c r="AP122" s="3">
        <v>0</v>
      </c>
      <c r="AQ122" s="3"/>
      <c r="AR122" s="3">
        <v>0</v>
      </c>
      <c r="AS122" s="3"/>
      <c r="AT122" s="3"/>
      <c r="AU122" s="3"/>
      <c r="AV122" s="3">
        <v>0</v>
      </c>
      <c r="AW122" s="3"/>
      <c r="AX122" s="3">
        <v>0</v>
      </c>
      <c r="AY122" s="3"/>
      <c r="AZ122" s="3">
        <f t="shared" si="5"/>
        <v>16471570</v>
      </c>
      <c r="BA122" s="3"/>
      <c r="BB122" s="3">
        <v>0</v>
      </c>
      <c r="BC122" s="3"/>
      <c r="BD122" s="3"/>
      <c r="BE122" s="3"/>
      <c r="BF122" s="3"/>
      <c r="BG122" s="3"/>
      <c r="BH122" s="3">
        <v>0</v>
      </c>
      <c r="BI122" s="13" t="s">
        <v>336</v>
      </c>
      <c r="BK122" s="13" t="s">
        <v>197</v>
      </c>
      <c r="BL122" s="3"/>
      <c r="BM122" s="3">
        <f t="shared" si="7"/>
        <v>16471570</v>
      </c>
      <c r="BN122" s="3"/>
      <c r="BO122" s="3">
        <f>GenRev!AU122-BM122</f>
        <v>-12396</v>
      </c>
      <c r="BP122" s="3"/>
      <c r="BQ122" s="3">
        <v>145463</v>
      </c>
      <c r="BR122" s="3"/>
      <c r="BS122" s="3">
        <v>0</v>
      </c>
      <c r="BT122" s="3"/>
      <c r="BU122" s="3">
        <f t="shared" si="6"/>
        <v>133067</v>
      </c>
      <c r="BV122" s="3"/>
      <c r="BW122" s="14">
        <f>+BU122-GenBS!AC122</f>
        <v>0</v>
      </c>
    </row>
    <row r="123" spans="1:75" s="13" customFormat="1">
      <c r="A123" s="3" t="s">
        <v>337</v>
      </c>
      <c r="C123" s="13" t="s">
        <v>198</v>
      </c>
      <c r="E123" s="3">
        <v>560512</v>
      </c>
      <c r="F123" s="3"/>
      <c r="G123" s="3">
        <v>5552150</v>
      </c>
      <c r="H123" s="3"/>
      <c r="I123" s="3">
        <v>75510</v>
      </c>
      <c r="J123" s="3"/>
      <c r="K123" s="3">
        <v>0</v>
      </c>
      <c r="L123" s="3"/>
      <c r="M123" s="3">
        <v>0</v>
      </c>
      <c r="N123" s="3"/>
      <c r="O123" s="3">
        <v>3576796</v>
      </c>
      <c r="P123" s="3"/>
      <c r="Q123" s="3">
        <v>2725204</v>
      </c>
      <c r="R123" s="3"/>
      <c r="S123" s="3">
        <v>68640</v>
      </c>
      <c r="T123" s="3"/>
      <c r="U123" s="3">
        <v>616711</v>
      </c>
      <c r="V123" s="3"/>
      <c r="W123" s="3">
        <v>333983</v>
      </c>
      <c r="X123" s="3"/>
      <c r="Y123" s="3">
        <v>56875</v>
      </c>
      <c r="Z123" s="3"/>
      <c r="AA123" s="3">
        <v>298739</v>
      </c>
      <c r="AB123" s="3" t="s">
        <v>337</v>
      </c>
      <c r="AD123" s="13" t="s">
        <v>198</v>
      </c>
      <c r="AF123" s="3">
        <v>0</v>
      </c>
      <c r="AG123" s="3"/>
      <c r="AH123" s="3">
        <v>160636</v>
      </c>
      <c r="AI123" s="3"/>
      <c r="AJ123" s="3"/>
      <c r="AK123" s="3"/>
      <c r="AL123" s="3">
        <v>0</v>
      </c>
      <c r="AM123" s="3"/>
      <c r="AN123" s="3">
        <v>0</v>
      </c>
      <c r="AO123" s="3"/>
      <c r="AP123" s="3">
        <v>57782</v>
      </c>
      <c r="AQ123" s="3"/>
      <c r="AR123" s="3">
        <v>0</v>
      </c>
      <c r="AS123" s="3"/>
      <c r="AT123" s="3"/>
      <c r="AU123" s="3"/>
      <c r="AV123" s="3">
        <v>69460</v>
      </c>
      <c r="AW123" s="3"/>
      <c r="AX123" s="3">
        <v>40472</v>
      </c>
      <c r="AY123" s="3"/>
      <c r="AZ123" s="3">
        <f t="shared" si="5"/>
        <v>14193470</v>
      </c>
      <c r="BA123" s="3"/>
      <c r="BB123" s="3">
        <v>0</v>
      </c>
      <c r="BC123" s="3"/>
      <c r="BD123" s="3"/>
      <c r="BE123" s="3"/>
      <c r="BF123" s="3"/>
      <c r="BG123" s="3"/>
      <c r="BH123" s="3">
        <v>0</v>
      </c>
      <c r="BI123" s="3" t="s">
        <v>337</v>
      </c>
      <c r="BK123" s="13" t="s">
        <v>198</v>
      </c>
      <c r="BL123" s="3"/>
      <c r="BM123" s="3">
        <f t="shared" si="7"/>
        <v>14193470</v>
      </c>
      <c r="BN123" s="3"/>
      <c r="BO123" s="3">
        <f>GenRev!AU123-BM123</f>
        <v>-1748123</v>
      </c>
      <c r="BP123" s="3"/>
      <c r="BQ123" s="3">
        <v>6103740</v>
      </c>
      <c r="BR123" s="3"/>
      <c r="BS123" s="3">
        <v>0</v>
      </c>
      <c r="BT123" s="3"/>
      <c r="BU123" s="3">
        <f t="shared" si="6"/>
        <v>4355617</v>
      </c>
      <c r="BV123" s="3"/>
      <c r="BW123" s="14">
        <f>+BU123-GenBS!AC123</f>
        <v>0</v>
      </c>
    </row>
    <row r="124" spans="1:75" s="13" customFormat="1" hidden="1">
      <c r="A124" s="3" t="s">
        <v>362</v>
      </c>
      <c r="C124" s="13" t="s">
        <v>205</v>
      </c>
      <c r="E124" s="3">
        <v>0</v>
      </c>
      <c r="F124" s="3"/>
      <c r="G124" s="3">
        <v>0</v>
      </c>
      <c r="H124" s="3"/>
      <c r="I124" s="3">
        <v>0</v>
      </c>
      <c r="J124" s="3"/>
      <c r="K124" s="3">
        <v>0</v>
      </c>
      <c r="L124" s="3"/>
      <c r="M124" s="3">
        <v>0</v>
      </c>
      <c r="N124" s="3"/>
      <c r="O124" s="3">
        <v>0</v>
      </c>
      <c r="P124" s="3"/>
      <c r="Q124" s="3">
        <v>0</v>
      </c>
      <c r="R124" s="3"/>
      <c r="S124" s="3">
        <v>0</v>
      </c>
      <c r="T124" s="3"/>
      <c r="U124" s="3">
        <v>0</v>
      </c>
      <c r="V124" s="3"/>
      <c r="W124" s="3">
        <v>0</v>
      </c>
      <c r="X124" s="3"/>
      <c r="Y124" s="3">
        <v>0</v>
      </c>
      <c r="Z124" s="3"/>
      <c r="AA124" s="3">
        <v>0</v>
      </c>
      <c r="AB124" s="3" t="s">
        <v>362</v>
      </c>
      <c r="AD124" s="13" t="s">
        <v>205</v>
      </c>
      <c r="AF124" s="3">
        <v>0</v>
      </c>
      <c r="AG124" s="3"/>
      <c r="AH124" s="3">
        <v>0</v>
      </c>
      <c r="AI124" s="3"/>
      <c r="AJ124" s="3"/>
      <c r="AK124" s="3"/>
      <c r="AL124" s="3">
        <v>0</v>
      </c>
      <c r="AM124" s="3"/>
      <c r="AN124" s="3">
        <v>0</v>
      </c>
      <c r="AO124" s="3"/>
      <c r="AP124" s="3">
        <v>0</v>
      </c>
      <c r="AQ124" s="3"/>
      <c r="AR124" s="3">
        <v>0</v>
      </c>
      <c r="AS124" s="3"/>
      <c r="AT124" s="3"/>
      <c r="AU124" s="3"/>
      <c r="AV124" s="3">
        <v>0</v>
      </c>
      <c r="AW124" s="3"/>
      <c r="AX124" s="3">
        <v>0</v>
      </c>
      <c r="AY124" s="3"/>
      <c r="AZ124" s="3">
        <f t="shared" si="5"/>
        <v>0</v>
      </c>
      <c r="BA124" s="3"/>
      <c r="BB124" s="3">
        <v>0</v>
      </c>
      <c r="BC124" s="3"/>
      <c r="BD124" s="3"/>
      <c r="BE124" s="3"/>
      <c r="BF124" s="3"/>
      <c r="BG124" s="3"/>
      <c r="BH124" s="3">
        <v>0</v>
      </c>
      <c r="BI124" s="3" t="s">
        <v>362</v>
      </c>
      <c r="BK124" s="13" t="s">
        <v>205</v>
      </c>
      <c r="BL124" s="3"/>
      <c r="BM124" s="3">
        <f t="shared" si="7"/>
        <v>0</v>
      </c>
      <c r="BN124" s="3"/>
      <c r="BO124" s="3">
        <f>GenRev!AU124-BM124</f>
        <v>0</v>
      </c>
      <c r="BP124" s="3"/>
      <c r="BQ124" s="3"/>
      <c r="BR124" s="3"/>
      <c r="BS124" s="3">
        <v>0</v>
      </c>
      <c r="BT124" s="3"/>
      <c r="BU124" s="3">
        <f t="shared" si="6"/>
        <v>0</v>
      </c>
      <c r="BV124" s="3"/>
      <c r="BW124" s="14">
        <f>+BU124-GenBS!AC124</f>
        <v>0</v>
      </c>
    </row>
    <row r="125" spans="1:75" s="13" customFormat="1">
      <c r="A125" s="3" t="s">
        <v>339</v>
      </c>
      <c r="C125" s="13" t="s">
        <v>199</v>
      </c>
      <c r="E125" s="3">
        <v>378133</v>
      </c>
      <c r="F125" s="3"/>
      <c r="G125" s="3">
        <v>6255038</v>
      </c>
      <c r="H125" s="3"/>
      <c r="I125" s="3">
        <v>0</v>
      </c>
      <c r="J125" s="3"/>
      <c r="K125" s="3">
        <v>0</v>
      </c>
      <c r="L125" s="3"/>
      <c r="M125" s="3">
        <v>0</v>
      </c>
      <c r="N125" s="3"/>
      <c r="O125" s="3">
        <v>4291519</v>
      </c>
      <c r="P125" s="3"/>
      <c r="Q125" s="3">
        <v>2052249</v>
      </c>
      <c r="R125" s="3"/>
      <c r="S125" s="3">
        <v>77691</v>
      </c>
      <c r="T125" s="3"/>
      <c r="U125" s="3">
        <v>2397145</v>
      </c>
      <c r="V125" s="3"/>
      <c r="W125" s="3">
        <v>336032</v>
      </c>
      <c r="X125" s="3"/>
      <c r="Y125" s="3">
        <v>24238</v>
      </c>
      <c r="Z125" s="3"/>
      <c r="AA125" s="3">
        <v>203722</v>
      </c>
      <c r="AB125" s="3" t="s">
        <v>339</v>
      </c>
      <c r="AD125" s="13" t="s">
        <v>199</v>
      </c>
      <c r="AF125" s="3">
        <v>25273</v>
      </c>
      <c r="AG125" s="3"/>
      <c r="AH125" s="3">
        <v>0</v>
      </c>
      <c r="AI125" s="3"/>
      <c r="AJ125" s="3"/>
      <c r="AK125" s="3"/>
      <c r="AL125" s="3">
        <v>7735</v>
      </c>
      <c r="AM125" s="3"/>
      <c r="AN125" s="3">
        <v>1745</v>
      </c>
      <c r="AO125" s="3"/>
      <c r="AP125" s="3">
        <v>0</v>
      </c>
      <c r="AQ125" s="3"/>
      <c r="AR125" s="3">
        <v>0</v>
      </c>
      <c r="AS125" s="3"/>
      <c r="AT125" s="3"/>
      <c r="AU125" s="3"/>
      <c r="AV125" s="3">
        <v>0</v>
      </c>
      <c r="AW125" s="3"/>
      <c r="AX125" s="3">
        <v>0</v>
      </c>
      <c r="AY125" s="3"/>
      <c r="AZ125" s="3">
        <f t="shared" si="5"/>
        <v>16050520</v>
      </c>
      <c r="BA125" s="3"/>
      <c r="BB125" s="3">
        <v>0</v>
      </c>
      <c r="BC125" s="3"/>
      <c r="BD125" s="3"/>
      <c r="BE125" s="3"/>
      <c r="BF125" s="3"/>
      <c r="BG125" s="3"/>
      <c r="BH125" s="3">
        <v>0</v>
      </c>
      <c r="BI125" s="3" t="s">
        <v>339</v>
      </c>
      <c r="BK125" s="13" t="s">
        <v>199</v>
      </c>
      <c r="BL125" s="3"/>
      <c r="BM125" s="3">
        <f t="shared" si="7"/>
        <v>16050520</v>
      </c>
      <c r="BN125" s="3"/>
      <c r="BO125" s="3">
        <f>GenRev!AU125-BM125</f>
        <v>334395</v>
      </c>
      <c r="BP125" s="3"/>
      <c r="BQ125" s="3">
        <v>4263364</v>
      </c>
      <c r="BR125" s="3"/>
      <c r="BS125" s="3">
        <v>0</v>
      </c>
      <c r="BT125" s="3"/>
      <c r="BU125" s="3">
        <f t="shared" si="6"/>
        <v>4597759</v>
      </c>
      <c r="BV125" s="3"/>
      <c r="BW125" s="14">
        <f>+BU125-GenBS!AC125</f>
        <v>0</v>
      </c>
    </row>
    <row r="126" spans="1:75" s="13" customFormat="1" hidden="1">
      <c r="A126" s="3" t="s">
        <v>307</v>
      </c>
      <c r="C126" s="13" t="s">
        <v>200</v>
      </c>
      <c r="E126" s="3">
        <v>0</v>
      </c>
      <c r="F126" s="3"/>
      <c r="G126" s="3">
        <v>0</v>
      </c>
      <c r="H126" s="3"/>
      <c r="I126" s="3">
        <v>0</v>
      </c>
      <c r="J126" s="3"/>
      <c r="K126" s="3">
        <v>0</v>
      </c>
      <c r="L126" s="3"/>
      <c r="M126" s="3">
        <v>0</v>
      </c>
      <c r="N126" s="3"/>
      <c r="O126" s="3">
        <v>0</v>
      </c>
      <c r="P126" s="3"/>
      <c r="Q126" s="3">
        <v>0</v>
      </c>
      <c r="R126" s="3"/>
      <c r="S126" s="3">
        <v>0</v>
      </c>
      <c r="T126" s="3"/>
      <c r="U126" s="3">
        <v>0</v>
      </c>
      <c r="V126" s="3"/>
      <c r="W126" s="3">
        <v>0</v>
      </c>
      <c r="X126" s="3"/>
      <c r="Y126" s="3">
        <v>0</v>
      </c>
      <c r="Z126" s="3"/>
      <c r="AA126" s="3">
        <v>0</v>
      </c>
      <c r="AB126" s="3" t="s">
        <v>307</v>
      </c>
      <c r="AD126" s="13" t="s">
        <v>200</v>
      </c>
      <c r="AF126" s="3">
        <v>0</v>
      </c>
      <c r="AG126" s="3"/>
      <c r="AH126" s="3">
        <v>0</v>
      </c>
      <c r="AI126" s="3"/>
      <c r="AJ126" s="3"/>
      <c r="AK126" s="3"/>
      <c r="AL126" s="3">
        <v>0</v>
      </c>
      <c r="AM126" s="3"/>
      <c r="AN126" s="3">
        <v>0</v>
      </c>
      <c r="AO126" s="3"/>
      <c r="AP126" s="3">
        <v>0</v>
      </c>
      <c r="AQ126" s="3"/>
      <c r="AR126" s="3">
        <v>0</v>
      </c>
      <c r="AS126" s="3"/>
      <c r="AT126" s="3"/>
      <c r="AU126" s="3"/>
      <c r="AV126" s="3">
        <v>0</v>
      </c>
      <c r="AW126" s="3"/>
      <c r="AX126" s="3">
        <v>0</v>
      </c>
      <c r="AY126" s="3"/>
      <c r="AZ126" s="3">
        <f t="shared" si="5"/>
        <v>0</v>
      </c>
      <c r="BA126" s="3"/>
      <c r="BB126" s="3">
        <v>0</v>
      </c>
      <c r="BC126" s="3"/>
      <c r="BD126" s="3"/>
      <c r="BE126" s="3"/>
      <c r="BF126" s="3"/>
      <c r="BG126" s="3"/>
      <c r="BH126" s="3">
        <v>0</v>
      </c>
      <c r="BI126" s="3" t="s">
        <v>307</v>
      </c>
      <c r="BK126" s="13" t="s">
        <v>200</v>
      </c>
      <c r="BL126" s="3"/>
      <c r="BM126" s="3">
        <f t="shared" si="7"/>
        <v>0</v>
      </c>
      <c r="BN126" s="3"/>
      <c r="BO126" s="3">
        <f>GenRev!AU126-BM126</f>
        <v>0</v>
      </c>
      <c r="BP126" s="3"/>
      <c r="BQ126" s="3"/>
      <c r="BR126" s="3"/>
      <c r="BS126" s="3"/>
      <c r="BT126" s="3"/>
      <c r="BU126" s="3">
        <f t="shared" si="6"/>
        <v>0</v>
      </c>
      <c r="BV126" s="3"/>
      <c r="BW126" s="14">
        <f>+BU126-GenBS!AC126</f>
        <v>0</v>
      </c>
    </row>
    <row r="127" spans="1:75" s="13" customFormat="1" hidden="1">
      <c r="A127" s="3" t="s">
        <v>341</v>
      </c>
      <c r="C127" s="13" t="s">
        <v>203</v>
      </c>
      <c r="E127" s="3">
        <v>0</v>
      </c>
      <c r="F127" s="3"/>
      <c r="G127" s="3">
        <v>0</v>
      </c>
      <c r="H127" s="3"/>
      <c r="I127" s="3">
        <v>0</v>
      </c>
      <c r="J127" s="3"/>
      <c r="K127" s="3">
        <v>0</v>
      </c>
      <c r="L127" s="3"/>
      <c r="M127" s="3">
        <v>0</v>
      </c>
      <c r="N127" s="3"/>
      <c r="O127" s="3">
        <v>0</v>
      </c>
      <c r="P127" s="3"/>
      <c r="Q127" s="3">
        <v>0</v>
      </c>
      <c r="R127" s="3"/>
      <c r="S127" s="3">
        <v>0</v>
      </c>
      <c r="T127" s="3"/>
      <c r="U127" s="3">
        <v>0</v>
      </c>
      <c r="V127" s="3"/>
      <c r="W127" s="3">
        <v>0</v>
      </c>
      <c r="X127" s="3"/>
      <c r="Y127" s="3">
        <v>0</v>
      </c>
      <c r="Z127" s="3"/>
      <c r="AA127" s="3">
        <v>0</v>
      </c>
      <c r="AB127" s="3" t="s">
        <v>341</v>
      </c>
      <c r="AD127" s="13" t="s">
        <v>203</v>
      </c>
      <c r="AF127" s="3">
        <v>0</v>
      </c>
      <c r="AG127" s="3"/>
      <c r="AH127" s="3">
        <v>0</v>
      </c>
      <c r="AI127" s="3"/>
      <c r="AJ127" s="3"/>
      <c r="AK127" s="3"/>
      <c r="AL127" s="3">
        <v>0</v>
      </c>
      <c r="AM127" s="3"/>
      <c r="AN127" s="3">
        <v>0</v>
      </c>
      <c r="AO127" s="3"/>
      <c r="AP127" s="3">
        <v>0</v>
      </c>
      <c r="AQ127" s="3"/>
      <c r="AR127" s="3">
        <v>0</v>
      </c>
      <c r="AS127" s="3"/>
      <c r="AT127" s="3"/>
      <c r="AU127" s="3"/>
      <c r="AV127" s="3">
        <v>0</v>
      </c>
      <c r="AW127" s="3"/>
      <c r="AX127" s="3">
        <v>0</v>
      </c>
      <c r="AY127" s="3"/>
      <c r="AZ127" s="3">
        <f t="shared" si="5"/>
        <v>0</v>
      </c>
      <c r="BA127" s="3"/>
      <c r="BB127" s="3">
        <v>0</v>
      </c>
      <c r="BC127" s="3"/>
      <c r="BD127" s="3"/>
      <c r="BE127" s="3"/>
      <c r="BF127" s="3"/>
      <c r="BG127" s="3"/>
      <c r="BH127" s="3">
        <v>0</v>
      </c>
      <c r="BI127" s="3" t="s">
        <v>341</v>
      </c>
      <c r="BK127" s="13" t="s">
        <v>203</v>
      </c>
      <c r="BL127" s="3"/>
      <c r="BM127" s="3">
        <f t="shared" si="7"/>
        <v>0</v>
      </c>
      <c r="BN127" s="3"/>
      <c r="BO127" s="3">
        <f>GenRev!AU127-BM127</f>
        <v>0</v>
      </c>
      <c r="BP127" s="3"/>
      <c r="BQ127" s="3"/>
      <c r="BR127" s="3"/>
      <c r="BS127" s="3"/>
      <c r="BT127" s="3"/>
      <c r="BU127" s="3">
        <f t="shared" si="6"/>
        <v>0</v>
      </c>
      <c r="BV127" s="3"/>
      <c r="BW127" s="14">
        <f>+BU127-GenBS!AC127</f>
        <v>0</v>
      </c>
    </row>
    <row r="128" spans="1:75" s="13" customFormat="1" hidden="1">
      <c r="A128" s="3" t="s">
        <v>308</v>
      </c>
      <c r="C128" s="13" t="s">
        <v>204</v>
      </c>
      <c r="E128" s="3">
        <v>0</v>
      </c>
      <c r="F128" s="3"/>
      <c r="G128" s="3">
        <v>0</v>
      </c>
      <c r="H128" s="3"/>
      <c r="I128" s="3">
        <v>0</v>
      </c>
      <c r="J128" s="3"/>
      <c r="K128" s="3">
        <v>0</v>
      </c>
      <c r="L128" s="3"/>
      <c r="M128" s="3">
        <v>0</v>
      </c>
      <c r="N128" s="3"/>
      <c r="O128" s="3">
        <v>0</v>
      </c>
      <c r="P128" s="3"/>
      <c r="Q128" s="3">
        <v>0</v>
      </c>
      <c r="R128" s="3"/>
      <c r="S128" s="3">
        <v>0</v>
      </c>
      <c r="T128" s="3"/>
      <c r="U128" s="3">
        <v>0</v>
      </c>
      <c r="V128" s="3"/>
      <c r="W128" s="3">
        <v>0</v>
      </c>
      <c r="X128" s="3"/>
      <c r="Y128" s="3">
        <v>0</v>
      </c>
      <c r="Z128" s="3"/>
      <c r="AA128" s="3">
        <v>0</v>
      </c>
      <c r="AB128" s="3" t="s">
        <v>308</v>
      </c>
      <c r="AD128" s="13" t="s">
        <v>204</v>
      </c>
      <c r="AF128" s="3">
        <v>0</v>
      </c>
      <c r="AG128" s="3"/>
      <c r="AH128" s="3">
        <v>0</v>
      </c>
      <c r="AI128" s="3"/>
      <c r="AJ128" s="3"/>
      <c r="AK128" s="3"/>
      <c r="AL128" s="3">
        <v>0</v>
      </c>
      <c r="AM128" s="3"/>
      <c r="AN128" s="3">
        <v>0</v>
      </c>
      <c r="AO128" s="3"/>
      <c r="AP128" s="3">
        <v>0</v>
      </c>
      <c r="AQ128" s="3"/>
      <c r="AR128" s="3">
        <v>0</v>
      </c>
      <c r="AS128" s="3"/>
      <c r="AT128" s="3"/>
      <c r="AU128" s="3"/>
      <c r="AV128" s="3">
        <v>0</v>
      </c>
      <c r="AW128" s="3"/>
      <c r="AX128" s="3">
        <v>0</v>
      </c>
      <c r="AY128" s="3"/>
      <c r="AZ128" s="3">
        <f t="shared" si="5"/>
        <v>0</v>
      </c>
      <c r="BA128" s="3"/>
      <c r="BB128" s="3">
        <v>0</v>
      </c>
      <c r="BC128" s="3"/>
      <c r="BD128" s="3"/>
      <c r="BE128" s="3"/>
      <c r="BF128" s="3"/>
      <c r="BG128" s="3"/>
      <c r="BH128" s="3">
        <v>0</v>
      </c>
      <c r="BI128" s="3" t="s">
        <v>308</v>
      </c>
      <c r="BK128" s="13" t="s">
        <v>204</v>
      </c>
      <c r="BM128" s="3">
        <f t="shared" si="7"/>
        <v>0</v>
      </c>
      <c r="BN128" s="3"/>
      <c r="BO128" s="3">
        <f>GenRev!AU128-BM128</f>
        <v>0</v>
      </c>
      <c r="BP128" s="3"/>
      <c r="BQ128" s="3"/>
      <c r="BR128" s="3"/>
      <c r="BS128" s="3"/>
      <c r="BT128" s="3"/>
      <c r="BU128" s="3">
        <f t="shared" si="6"/>
        <v>0</v>
      </c>
      <c r="BV128" s="3"/>
      <c r="BW128" s="14">
        <f>+BU128-GenBS!AC128</f>
        <v>0</v>
      </c>
    </row>
    <row r="129" spans="1:75" s="13" customFormat="1">
      <c r="A129" s="3" t="s">
        <v>201</v>
      </c>
      <c r="C129" s="13" t="s">
        <v>261</v>
      </c>
      <c r="E129" s="3">
        <v>26302</v>
      </c>
      <c r="F129" s="3"/>
      <c r="G129" s="3">
        <v>1309668</v>
      </c>
      <c r="H129" s="3"/>
      <c r="I129" s="3">
        <v>0</v>
      </c>
      <c r="J129" s="3"/>
      <c r="K129" s="3">
        <v>0</v>
      </c>
      <c r="L129" s="3"/>
      <c r="M129" s="3">
        <v>0</v>
      </c>
      <c r="N129" s="3"/>
      <c r="O129" s="3">
        <v>968779</v>
      </c>
      <c r="P129" s="3"/>
      <c r="Q129" s="3">
        <v>994915</v>
      </c>
      <c r="R129" s="3"/>
      <c r="S129" s="3">
        <v>52778</v>
      </c>
      <c r="T129" s="3"/>
      <c r="U129" s="3">
        <v>395896</v>
      </c>
      <c r="V129" s="3"/>
      <c r="W129" s="3">
        <v>105662</v>
      </c>
      <c r="X129" s="3"/>
      <c r="Y129" s="3">
        <v>0</v>
      </c>
      <c r="Z129" s="3"/>
      <c r="AA129" s="3">
        <v>18447</v>
      </c>
      <c r="AB129" s="3" t="s">
        <v>201</v>
      </c>
      <c r="AD129" s="13" t="s">
        <v>261</v>
      </c>
      <c r="AF129" s="3">
        <v>0</v>
      </c>
      <c r="AG129" s="3"/>
      <c r="AH129" s="3">
        <v>23462</v>
      </c>
      <c r="AI129" s="3"/>
      <c r="AJ129" s="3"/>
      <c r="AK129" s="3"/>
      <c r="AL129" s="3">
        <v>0</v>
      </c>
      <c r="AM129" s="3"/>
      <c r="AN129" s="3">
        <v>0</v>
      </c>
      <c r="AO129" s="3"/>
      <c r="AP129" s="3">
        <v>0</v>
      </c>
      <c r="AQ129" s="3"/>
      <c r="AR129" s="3">
        <v>0</v>
      </c>
      <c r="AS129" s="3"/>
      <c r="AT129" s="3"/>
      <c r="AU129" s="3"/>
      <c r="AV129" s="3">
        <v>0</v>
      </c>
      <c r="AW129" s="3"/>
      <c r="AX129" s="3">
        <v>0</v>
      </c>
      <c r="AY129" s="3"/>
      <c r="AZ129" s="3">
        <f t="shared" si="5"/>
        <v>3895909</v>
      </c>
      <c r="BA129" s="3"/>
      <c r="BB129" s="3">
        <v>0</v>
      </c>
      <c r="BC129" s="3"/>
      <c r="BD129" s="3"/>
      <c r="BE129" s="3"/>
      <c r="BF129" s="3"/>
      <c r="BG129" s="3"/>
      <c r="BH129" s="3">
        <v>0</v>
      </c>
      <c r="BI129" s="3" t="s">
        <v>201</v>
      </c>
      <c r="BK129" s="13" t="s">
        <v>261</v>
      </c>
      <c r="BL129" s="3"/>
      <c r="BM129" s="3">
        <f t="shared" si="7"/>
        <v>3895909</v>
      </c>
      <c r="BN129" s="3"/>
      <c r="BO129" s="3">
        <f>GenRev!AU129-BM129</f>
        <v>126635</v>
      </c>
      <c r="BP129" s="3"/>
      <c r="BQ129" s="3">
        <v>275703</v>
      </c>
      <c r="BR129" s="3"/>
      <c r="BS129" s="3">
        <v>0</v>
      </c>
      <c r="BT129" s="3"/>
      <c r="BU129" s="3">
        <f t="shared" si="6"/>
        <v>402338</v>
      </c>
      <c r="BV129" s="3"/>
      <c r="BW129" s="14">
        <f>+BU129-GenBS!AC129</f>
        <v>0</v>
      </c>
    </row>
    <row r="130" spans="1:75" s="13" customFormat="1">
      <c r="A130" s="3" t="s">
        <v>340</v>
      </c>
      <c r="C130" s="13" t="s">
        <v>206</v>
      </c>
      <c r="E130" s="3">
        <v>580102</v>
      </c>
      <c r="F130" s="3"/>
      <c r="G130" s="3">
        <v>4426865</v>
      </c>
      <c r="H130" s="3"/>
      <c r="I130" s="3">
        <v>0</v>
      </c>
      <c r="J130" s="3"/>
      <c r="K130" s="3">
        <v>0</v>
      </c>
      <c r="L130" s="3"/>
      <c r="M130" s="3">
        <v>0</v>
      </c>
      <c r="N130" s="3"/>
      <c r="O130" s="3">
        <v>1734712</v>
      </c>
      <c r="P130" s="3"/>
      <c r="Q130" s="3">
        <v>2326386</v>
      </c>
      <c r="R130" s="3"/>
      <c r="S130" s="3">
        <v>41696</v>
      </c>
      <c r="T130" s="3"/>
      <c r="U130" s="3">
        <v>825454</v>
      </c>
      <c r="V130" s="3"/>
      <c r="W130" s="3">
        <v>518610</v>
      </c>
      <c r="X130" s="3"/>
      <c r="Y130" s="3">
        <v>0</v>
      </c>
      <c r="Z130" s="3"/>
      <c r="AA130" s="3">
        <v>80963</v>
      </c>
      <c r="AB130" s="3" t="s">
        <v>340</v>
      </c>
      <c r="AD130" s="13" t="s">
        <v>206</v>
      </c>
      <c r="AF130" s="3">
        <v>55748</v>
      </c>
      <c r="AG130" s="3"/>
      <c r="AH130" s="3">
        <v>160192</v>
      </c>
      <c r="AI130" s="3"/>
      <c r="AJ130" s="3"/>
      <c r="AK130" s="3"/>
      <c r="AL130" s="3">
        <v>0</v>
      </c>
      <c r="AM130" s="3"/>
      <c r="AN130" s="3">
        <v>22839</v>
      </c>
      <c r="AO130" s="3"/>
      <c r="AP130" s="3">
        <v>0</v>
      </c>
      <c r="AQ130" s="3"/>
      <c r="AR130" s="3">
        <v>0</v>
      </c>
      <c r="AS130" s="3"/>
      <c r="AT130" s="3"/>
      <c r="AU130" s="3"/>
      <c r="AV130" s="3">
        <v>0</v>
      </c>
      <c r="AW130" s="3"/>
      <c r="AX130" s="3">
        <v>0</v>
      </c>
      <c r="AY130" s="3"/>
      <c r="AZ130" s="3">
        <f t="shared" si="5"/>
        <v>10773567</v>
      </c>
      <c r="BA130" s="3"/>
      <c r="BB130" s="3">
        <v>0</v>
      </c>
      <c r="BC130" s="3"/>
      <c r="BD130" s="3"/>
      <c r="BE130" s="3"/>
      <c r="BF130" s="3"/>
      <c r="BG130" s="3"/>
      <c r="BH130" s="3">
        <v>0</v>
      </c>
      <c r="BI130" s="3" t="s">
        <v>340</v>
      </c>
      <c r="BK130" s="13" t="s">
        <v>206</v>
      </c>
      <c r="BL130" s="3"/>
      <c r="BM130" s="3">
        <f t="shared" si="7"/>
        <v>10773567</v>
      </c>
      <c r="BN130" s="3"/>
      <c r="BO130" s="3">
        <f>GenRev!AU130-BM130</f>
        <v>-1005517</v>
      </c>
      <c r="BP130" s="3"/>
      <c r="BQ130" s="3">
        <v>2950695</v>
      </c>
      <c r="BR130" s="3"/>
      <c r="BS130" s="3">
        <v>0</v>
      </c>
      <c r="BT130" s="3"/>
      <c r="BU130" s="3">
        <f t="shared" si="6"/>
        <v>1945178</v>
      </c>
      <c r="BV130" s="3"/>
      <c r="BW130" s="14">
        <f>+BU130-GenBS!AC130</f>
        <v>0</v>
      </c>
    </row>
    <row r="131" spans="1:75" s="13" customFormat="1">
      <c r="K131" s="23"/>
    </row>
    <row r="132" spans="1:75">
      <c r="K132" s="23"/>
      <c r="AA132" s="30" t="s">
        <v>257</v>
      </c>
      <c r="AN132" s="30" t="s">
        <v>257</v>
      </c>
      <c r="BA132" s="30"/>
      <c r="BH132" s="30" t="s">
        <v>257</v>
      </c>
    </row>
    <row r="133" spans="1:75">
      <c r="K133" s="23"/>
    </row>
    <row r="134" spans="1:75">
      <c r="K134" s="23"/>
    </row>
    <row r="135" spans="1:75">
      <c r="K135" s="23"/>
    </row>
    <row r="136" spans="1:75">
      <c r="E136" s="3"/>
      <c r="F136" s="3"/>
      <c r="G136" s="3"/>
      <c r="H136" s="3"/>
      <c r="I136" s="3"/>
      <c r="J136" s="3"/>
      <c r="K136" s="2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13"/>
      <c r="AC136" s="13"/>
      <c r="AD136" s="13"/>
      <c r="AE136" s="1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>
        <f>SUM(B136:AY136)</f>
        <v>0</v>
      </c>
      <c r="BA136" s="3"/>
      <c r="BB136" s="3"/>
      <c r="BC136" s="3"/>
      <c r="BD136" s="3">
        <v>0</v>
      </c>
      <c r="BE136" s="3"/>
      <c r="BF136" s="3">
        <v>0</v>
      </c>
      <c r="BG136" s="3"/>
      <c r="BH136" s="3"/>
      <c r="BI136" s="13"/>
      <c r="BJ136" s="13"/>
      <c r="BK136" s="13"/>
      <c r="BL136" s="3"/>
      <c r="BM136" s="3"/>
      <c r="BN136" s="3"/>
      <c r="BO136" s="3"/>
      <c r="BP136" s="3"/>
      <c r="BQ136" s="3"/>
      <c r="BR136" s="3"/>
      <c r="BS136" s="3"/>
      <c r="BT136" s="3"/>
      <c r="BU136" s="3"/>
    </row>
    <row r="137" spans="1:75">
      <c r="K137" s="23"/>
    </row>
    <row r="138" spans="1:75">
      <c r="K138" s="23"/>
    </row>
    <row r="139" spans="1:75">
      <c r="K139" s="23"/>
    </row>
    <row r="140" spans="1:75">
      <c r="K140" s="23"/>
    </row>
    <row r="141" spans="1:75">
      <c r="K141" s="23"/>
    </row>
    <row r="142" spans="1:75">
      <c r="K142" s="23"/>
    </row>
    <row r="143" spans="1:75">
      <c r="K143" s="23"/>
    </row>
    <row r="144" spans="1:75">
      <c r="K144" s="23"/>
    </row>
    <row r="145" spans="11:11">
      <c r="K145" s="23"/>
    </row>
    <row r="146" spans="11:11">
      <c r="K146" s="23">
        <v>18747</v>
      </c>
    </row>
    <row r="147" spans="11:11">
      <c r="K147" s="23"/>
    </row>
    <row r="148" spans="11:11">
      <c r="K148" s="23"/>
    </row>
    <row r="149" spans="11:11">
      <c r="K149" s="23"/>
    </row>
    <row r="150" spans="11:11">
      <c r="K150" s="23"/>
    </row>
    <row r="151" spans="11:11">
      <c r="K151" s="23"/>
    </row>
    <row r="152" spans="11:11">
      <c r="K152" s="23"/>
    </row>
    <row r="153" spans="11:11">
      <c r="K153" s="23"/>
    </row>
    <row r="154" spans="11:11">
      <c r="K154" s="23"/>
    </row>
    <row r="155" spans="11:11">
      <c r="K155" s="50"/>
    </row>
    <row r="156" spans="11:11">
      <c r="K156" s="23"/>
    </row>
    <row r="157" spans="11:11">
      <c r="K157" s="23"/>
    </row>
    <row r="158" spans="11:11">
      <c r="K158" s="23"/>
    </row>
    <row r="159" spans="11:11">
      <c r="K159" s="23"/>
    </row>
    <row r="160" spans="11:11">
      <c r="K160" s="23"/>
    </row>
    <row r="161" spans="11:11">
      <c r="K161" s="23"/>
    </row>
    <row r="162" spans="11:11">
      <c r="K162" s="23"/>
    </row>
    <row r="163" spans="11:11">
      <c r="K163" s="23"/>
    </row>
    <row r="164" spans="11:11">
      <c r="K164" s="23"/>
    </row>
    <row r="165" spans="11:11">
      <c r="K165" s="23"/>
    </row>
    <row r="166" spans="11:11">
      <c r="K166" s="23"/>
    </row>
    <row r="167" spans="11:11">
      <c r="K167" s="23"/>
    </row>
    <row r="168" spans="11:11">
      <c r="K168" s="23"/>
    </row>
    <row r="169" spans="11:11">
      <c r="K169" s="23"/>
    </row>
    <row r="170" spans="11:11">
      <c r="K170" s="23"/>
    </row>
    <row r="171" spans="11:11">
      <c r="K171" s="23"/>
    </row>
    <row r="172" spans="11:11">
      <c r="K172" s="23"/>
    </row>
    <row r="173" spans="11:11">
      <c r="K173" s="23"/>
    </row>
    <row r="174" spans="11:11">
      <c r="K174" s="23"/>
    </row>
    <row r="175" spans="11:11">
      <c r="K175" s="23"/>
    </row>
    <row r="176" spans="11:11">
      <c r="K176" s="23"/>
    </row>
    <row r="177" spans="11:11">
      <c r="K177" s="23"/>
    </row>
    <row r="178" spans="11:11">
      <c r="K178" s="23"/>
    </row>
    <row r="179" spans="11:11">
      <c r="K179" s="23"/>
    </row>
    <row r="180" spans="11:11">
      <c r="K180" s="23"/>
    </row>
    <row r="181" spans="11:11">
      <c r="K181" s="23"/>
    </row>
    <row r="182" spans="11:11">
      <c r="K182" s="23"/>
    </row>
    <row r="183" spans="11:11">
      <c r="K183" s="23"/>
    </row>
    <row r="184" spans="11:11">
      <c r="K184" s="23"/>
    </row>
    <row r="185" spans="11:11">
      <c r="K185" s="23"/>
    </row>
    <row r="186" spans="11:11">
      <c r="K186" s="23"/>
    </row>
    <row r="187" spans="11:11">
      <c r="K187" s="23"/>
    </row>
    <row r="188" spans="11:11">
      <c r="K188" s="23"/>
    </row>
    <row r="189" spans="11:11">
      <c r="K189" s="23"/>
    </row>
    <row r="190" spans="11:11">
      <c r="K190" s="23"/>
    </row>
    <row r="191" spans="11:11">
      <c r="K191" s="23"/>
    </row>
    <row r="192" spans="11:11">
      <c r="K192" s="23"/>
    </row>
    <row r="193" spans="11:11">
      <c r="K193" s="23"/>
    </row>
    <row r="194" spans="11:11">
      <c r="K194" s="23"/>
    </row>
    <row r="195" spans="11:11">
      <c r="K195" s="23"/>
    </row>
    <row r="196" spans="11:11">
      <c r="K196" s="23"/>
    </row>
    <row r="197" spans="11:11">
      <c r="K197" s="23"/>
    </row>
    <row r="198" spans="11:11">
      <c r="K198" s="23"/>
    </row>
    <row r="199" spans="11:11">
      <c r="K199" s="23"/>
    </row>
    <row r="200" spans="11:11">
      <c r="K200" s="23"/>
    </row>
    <row r="201" spans="11:11">
      <c r="K201" s="23"/>
    </row>
    <row r="202" spans="11:11">
      <c r="K202" s="50"/>
    </row>
    <row r="203" spans="11:11">
      <c r="K203" s="23"/>
    </row>
    <row r="204" spans="11:11">
      <c r="K204" s="23"/>
    </row>
    <row r="205" spans="11:11">
      <c r="K205" s="23"/>
    </row>
    <row r="206" spans="11:11">
      <c r="K206" s="23"/>
    </row>
    <row r="207" spans="11:11">
      <c r="K207" s="23"/>
    </row>
    <row r="208" spans="11:11">
      <c r="K208" s="23"/>
    </row>
    <row r="209" spans="11:11">
      <c r="K209" s="23"/>
    </row>
    <row r="210" spans="11:11">
      <c r="K210" s="23"/>
    </row>
    <row r="211" spans="11:11">
      <c r="K211" s="23"/>
    </row>
    <row r="212" spans="11:11">
      <c r="K212" s="23"/>
    </row>
    <row r="213" spans="11:11">
      <c r="K213" s="23"/>
    </row>
    <row r="214" spans="11:11">
      <c r="K214" s="23"/>
    </row>
    <row r="215" spans="11:11">
      <c r="K215" s="23"/>
    </row>
    <row r="216" spans="11:11">
      <c r="K216" s="23"/>
    </row>
    <row r="217" spans="11:11">
      <c r="K217" s="23"/>
    </row>
    <row r="218" spans="11:11">
      <c r="K218" s="23"/>
    </row>
    <row r="219" spans="11:11">
      <c r="K219" s="23"/>
    </row>
    <row r="220" spans="11:11">
      <c r="K220" s="23"/>
    </row>
    <row r="221" spans="11:11">
      <c r="K221" s="23"/>
    </row>
    <row r="222" spans="11:11">
      <c r="K222" s="23"/>
    </row>
    <row r="223" spans="11:11">
      <c r="K223" s="23"/>
    </row>
    <row r="224" spans="11:11">
      <c r="K224" s="23"/>
    </row>
    <row r="225" spans="11:11">
      <c r="K225" s="23"/>
    </row>
    <row r="226" spans="11:11">
      <c r="K226" s="23"/>
    </row>
    <row r="227" spans="11:11">
      <c r="K227" s="23"/>
    </row>
    <row r="228" spans="11:11">
      <c r="K228" s="23"/>
    </row>
    <row r="229" spans="11:11">
      <c r="K229" s="23"/>
    </row>
    <row r="230" spans="11:11">
      <c r="K230" s="23"/>
    </row>
    <row r="231" spans="11:11">
      <c r="K231" s="50"/>
    </row>
    <row r="232" spans="11:11">
      <c r="K232" s="23"/>
    </row>
    <row r="233" spans="11:11">
      <c r="K233" s="23"/>
    </row>
    <row r="234" spans="11:11">
      <c r="K234" s="23"/>
    </row>
    <row r="235" spans="11:11">
      <c r="K235" s="23"/>
    </row>
    <row r="236" spans="11:11">
      <c r="K236" s="23"/>
    </row>
    <row r="237" spans="11:11">
      <c r="K237" s="23"/>
    </row>
    <row r="238" spans="11:11">
      <c r="K238" s="23"/>
    </row>
    <row r="239" spans="11:11">
      <c r="K239" s="23"/>
    </row>
    <row r="240" spans="11:11">
      <c r="K240" s="23"/>
    </row>
    <row r="241" spans="11:11">
      <c r="K241" s="23"/>
    </row>
    <row r="242" spans="11:11">
      <c r="K242" s="23"/>
    </row>
    <row r="243" spans="11:11">
      <c r="K243" s="23"/>
    </row>
    <row r="244" spans="11:11">
      <c r="K244" s="23"/>
    </row>
    <row r="245" spans="11:11">
      <c r="K245" s="23"/>
    </row>
    <row r="246" spans="11:11">
      <c r="K246" s="23"/>
    </row>
    <row r="247" spans="11:11">
      <c r="K247" s="23"/>
    </row>
    <row r="248" spans="11:11">
      <c r="K248" s="23"/>
    </row>
    <row r="249" spans="11:11">
      <c r="K249" s="23"/>
    </row>
    <row r="250" spans="11:11">
      <c r="K250" s="23"/>
    </row>
    <row r="251" spans="11:11">
      <c r="K251" s="23"/>
    </row>
    <row r="252" spans="11:11">
      <c r="K252" s="23"/>
    </row>
    <row r="253" spans="11:11">
      <c r="K253" s="23"/>
    </row>
    <row r="254" spans="11:11">
      <c r="K254" s="23"/>
    </row>
    <row r="255" spans="11:11">
      <c r="K255" s="23"/>
    </row>
    <row r="256" spans="11:11">
      <c r="K256" s="23"/>
    </row>
    <row r="257" spans="11:11">
      <c r="K257" s="23"/>
    </row>
    <row r="258" spans="11:11">
      <c r="K258" s="23"/>
    </row>
    <row r="259" spans="11:11">
      <c r="K259" s="23"/>
    </row>
    <row r="260" spans="11:11">
      <c r="K260" s="23"/>
    </row>
    <row r="261" spans="11:11">
      <c r="K261" s="23"/>
    </row>
    <row r="262" spans="11:11">
      <c r="K262" s="23"/>
    </row>
    <row r="263" spans="11:11">
      <c r="K263" s="23"/>
    </row>
    <row r="264" spans="11:11">
      <c r="K264" s="23"/>
    </row>
    <row r="265" spans="11:11">
      <c r="K265" s="23"/>
    </row>
    <row r="266" spans="11:11">
      <c r="K266" s="23"/>
    </row>
    <row r="267" spans="11:11">
      <c r="K267" s="23"/>
    </row>
    <row r="268" spans="11:11">
      <c r="K268" s="23"/>
    </row>
    <row r="269" spans="11:11">
      <c r="K269" s="23"/>
    </row>
    <row r="270" spans="11:11">
      <c r="K270" s="23"/>
    </row>
    <row r="271" spans="11:11">
      <c r="K271" s="23"/>
    </row>
    <row r="272" spans="11:11">
      <c r="K272" s="23"/>
    </row>
    <row r="273" spans="11:11">
      <c r="K273" s="23"/>
    </row>
    <row r="274" spans="11:11">
      <c r="K274" s="23"/>
    </row>
    <row r="275" spans="11:11">
      <c r="K275" s="23"/>
    </row>
    <row r="276" spans="11:11">
      <c r="K276" s="23"/>
    </row>
    <row r="277" spans="11:11">
      <c r="K277" s="23"/>
    </row>
    <row r="278" spans="11:11">
      <c r="K278" s="23"/>
    </row>
    <row r="279" spans="11:11">
      <c r="K279" s="23"/>
    </row>
    <row r="280" spans="11:11">
      <c r="K280" s="23"/>
    </row>
    <row r="281" spans="11:11">
      <c r="K281" s="23"/>
    </row>
    <row r="282" spans="11:11">
      <c r="K282" s="23"/>
    </row>
    <row r="283" spans="11:11">
      <c r="K283" s="23"/>
    </row>
    <row r="284" spans="11:11">
      <c r="K284" s="23"/>
    </row>
    <row r="285" spans="11:11">
      <c r="K285" s="23"/>
    </row>
    <row r="286" spans="11:11">
      <c r="K286" s="23"/>
    </row>
    <row r="287" spans="11:11">
      <c r="K287" s="23"/>
    </row>
    <row r="288" spans="11:11">
      <c r="K288" s="23"/>
    </row>
    <row r="289" spans="11:11">
      <c r="K289" s="23"/>
    </row>
    <row r="290" spans="11:11">
      <c r="K290" s="23"/>
    </row>
    <row r="291" spans="11:11">
      <c r="K291" s="23"/>
    </row>
    <row r="292" spans="11:11">
      <c r="K292" s="23"/>
    </row>
    <row r="293" spans="11:11">
      <c r="K293" s="23"/>
    </row>
    <row r="294" spans="11:11">
      <c r="K294" s="23"/>
    </row>
    <row r="295" spans="11:11">
      <c r="K295" s="23"/>
    </row>
    <row r="296" spans="11:11">
      <c r="K296" s="23"/>
    </row>
    <row r="297" spans="11:11">
      <c r="K297" s="23"/>
    </row>
    <row r="298" spans="11:11">
      <c r="K298" s="23"/>
    </row>
    <row r="299" spans="11:11">
      <c r="K299" s="23"/>
    </row>
    <row r="300" spans="11:11">
      <c r="K300" s="23"/>
    </row>
    <row r="301" spans="11:11">
      <c r="K301" s="23"/>
    </row>
    <row r="302" spans="11:11">
      <c r="K302" s="23"/>
    </row>
    <row r="303" spans="11:11">
      <c r="K303" s="23"/>
    </row>
    <row r="304" spans="11:11">
      <c r="K304" s="50"/>
    </row>
    <row r="305" spans="11:11">
      <c r="K305" s="23"/>
    </row>
    <row r="306" spans="11:11">
      <c r="K306" s="23"/>
    </row>
    <row r="307" spans="11:11">
      <c r="K307" s="23"/>
    </row>
    <row r="308" spans="11:11">
      <c r="K308" s="23"/>
    </row>
    <row r="309" spans="11:11">
      <c r="K309" s="23"/>
    </row>
    <row r="310" spans="11:11">
      <c r="K310" s="23"/>
    </row>
    <row r="311" spans="11:11">
      <c r="K311" s="23"/>
    </row>
    <row r="312" spans="11:11">
      <c r="K312" s="23"/>
    </row>
    <row r="313" spans="11:11">
      <c r="K313" s="23"/>
    </row>
    <row r="314" spans="11:11">
      <c r="K314" s="23"/>
    </row>
    <row r="315" spans="11:11">
      <c r="K315" s="23"/>
    </row>
    <row r="316" spans="11:11">
      <c r="K316" s="23"/>
    </row>
    <row r="317" spans="11:11">
      <c r="K317" s="23"/>
    </row>
    <row r="318" spans="11:11">
      <c r="K318" s="23"/>
    </row>
    <row r="319" spans="11:11">
      <c r="K319" s="23"/>
    </row>
    <row r="320" spans="11:11">
      <c r="K320" s="23"/>
    </row>
    <row r="321" spans="11:11">
      <c r="K321" s="23"/>
    </row>
    <row r="322" spans="11:11">
      <c r="K322" s="23"/>
    </row>
    <row r="323" spans="11:11">
      <c r="K323" s="23"/>
    </row>
    <row r="324" spans="11:11">
      <c r="K324" s="23"/>
    </row>
    <row r="325" spans="11:11">
      <c r="K325" s="23"/>
    </row>
    <row r="326" spans="11:11">
      <c r="K326" s="23"/>
    </row>
    <row r="327" spans="11:11">
      <c r="K327" s="23"/>
    </row>
    <row r="328" spans="11:11">
      <c r="K328" s="23"/>
    </row>
    <row r="329" spans="11:11">
      <c r="K329" s="23"/>
    </row>
    <row r="330" spans="11:11">
      <c r="K330" s="23"/>
    </row>
    <row r="331" spans="11:11">
      <c r="K331" s="23"/>
    </row>
    <row r="332" spans="11:11">
      <c r="K332" s="23"/>
    </row>
    <row r="333" spans="11:11">
      <c r="K333" s="23"/>
    </row>
    <row r="334" spans="11:11">
      <c r="K334" s="23"/>
    </row>
    <row r="335" spans="11:11">
      <c r="K335" s="23"/>
    </row>
    <row r="336" spans="11:11">
      <c r="K336" s="50"/>
    </row>
    <row r="337" spans="11:11">
      <c r="K337" s="23"/>
    </row>
    <row r="338" spans="11:11">
      <c r="K338" s="23"/>
    </row>
    <row r="339" spans="11:11">
      <c r="K339" s="23"/>
    </row>
    <row r="340" spans="11:11">
      <c r="K340" s="23"/>
    </row>
    <row r="341" spans="11:11">
      <c r="K341" s="23"/>
    </row>
    <row r="342" spans="11:11">
      <c r="K342" s="23"/>
    </row>
    <row r="343" spans="11:11">
      <c r="K343" s="23"/>
    </row>
    <row r="344" spans="11:11">
      <c r="K344" s="23"/>
    </row>
    <row r="345" spans="11:11">
      <c r="K345" s="23"/>
    </row>
    <row r="346" spans="11:11">
      <c r="K346" s="23"/>
    </row>
    <row r="347" spans="11:11">
      <c r="K347" s="23"/>
    </row>
    <row r="348" spans="11:11">
      <c r="K348" s="23"/>
    </row>
    <row r="349" spans="11:11">
      <c r="K349" s="23"/>
    </row>
    <row r="350" spans="11:11">
      <c r="K350" s="23"/>
    </row>
    <row r="351" spans="11:11">
      <c r="K351" s="23"/>
    </row>
    <row r="352" spans="11:11">
      <c r="K352" s="23"/>
    </row>
    <row r="353" spans="11:11">
      <c r="K353" s="23"/>
    </row>
    <row r="354" spans="11:11">
      <c r="K354" s="23"/>
    </row>
    <row r="355" spans="11:11">
      <c r="K355" s="23"/>
    </row>
    <row r="356" spans="11:11">
      <c r="K356" s="23"/>
    </row>
    <row r="357" spans="11:11">
      <c r="K357" s="23"/>
    </row>
    <row r="358" spans="11:11">
      <c r="K358" s="23"/>
    </row>
    <row r="359" spans="11:11">
      <c r="K359" s="23"/>
    </row>
    <row r="360" spans="11:11">
      <c r="K360" s="23"/>
    </row>
    <row r="361" spans="11:11">
      <c r="K361" s="23"/>
    </row>
    <row r="362" spans="11:11">
      <c r="K362" s="23"/>
    </row>
    <row r="363" spans="11:11">
      <c r="K363" s="23"/>
    </row>
    <row r="364" spans="11:11">
      <c r="K364" s="23"/>
    </row>
    <row r="365" spans="11:11">
      <c r="K365" s="23"/>
    </row>
    <row r="366" spans="11:11">
      <c r="K366" s="23"/>
    </row>
    <row r="367" spans="11:11">
      <c r="K367" s="23"/>
    </row>
    <row r="368" spans="11:11">
      <c r="K368" s="23"/>
    </row>
    <row r="369" spans="11:11">
      <c r="K369" s="23"/>
    </row>
    <row r="370" spans="11:11">
      <c r="K370" s="23"/>
    </row>
    <row r="371" spans="11:11">
      <c r="K371" s="23"/>
    </row>
    <row r="372" spans="11:11">
      <c r="K372" s="23"/>
    </row>
    <row r="373" spans="11:11">
      <c r="K373" s="23"/>
    </row>
    <row r="374" spans="11:11">
      <c r="K374" s="23"/>
    </row>
    <row r="375" spans="11:11">
      <c r="K375" s="23"/>
    </row>
    <row r="376" spans="11:11">
      <c r="K376" s="23"/>
    </row>
    <row r="377" spans="11:11">
      <c r="K377" s="23"/>
    </row>
    <row r="378" spans="11:11">
      <c r="K378" s="50"/>
    </row>
    <row r="379" spans="11:11">
      <c r="K379" s="23"/>
    </row>
    <row r="380" spans="11:11">
      <c r="K380" s="23"/>
    </row>
    <row r="381" spans="11:11">
      <c r="K381" s="23"/>
    </row>
    <row r="382" spans="11:11">
      <c r="K382" s="23"/>
    </row>
    <row r="383" spans="11:11">
      <c r="K383" s="23"/>
    </row>
    <row r="384" spans="11:11">
      <c r="K384" s="23"/>
    </row>
    <row r="385" spans="11:11">
      <c r="K385" s="23"/>
    </row>
    <row r="386" spans="11:11">
      <c r="K386" s="23"/>
    </row>
    <row r="387" spans="11:11">
      <c r="K387" s="23"/>
    </row>
    <row r="388" spans="11:11">
      <c r="K388" s="23"/>
    </row>
    <row r="389" spans="11:11">
      <c r="K389" s="23"/>
    </row>
    <row r="390" spans="11:11">
      <c r="K390" s="23"/>
    </row>
    <row r="391" spans="11:11">
      <c r="K391" s="23"/>
    </row>
    <row r="392" spans="11:11">
      <c r="K392" s="23"/>
    </row>
    <row r="393" spans="11:11">
      <c r="K393" s="23"/>
    </row>
    <row r="394" spans="11:11">
      <c r="K394" s="23"/>
    </row>
    <row r="395" spans="11:11">
      <c r="K395" s="23"/>
    </row>
    <row r="396" spans="11:11">
      <c r="K396" s="23"/>
    </row>
    <row r="397" spans="11:11">
      <c r="K397" s="23"/>
    </row>
    <row r="398" spans="11:11">
      <c r="K398" s="23"/>
    </row>
    <row r="399" spans="11:11">
      <c r="K399" s="23"/>
    </row>
    <row r="400" spans="11:11">
      <c r="K400" s="23"/>
    </row>
    <row r="401" spans="11:11">
      <c r="K401" s="23"/>
    </row>
    <row r="402" spans="11:11">
      <c r="K402" s="23"/>
    </row>
    <row r="403" spans="11:11">
      <c r="K403" s="23"/>
    </row>
    <row r="404" spans="11:11">
      <c r="K404" s="23"/>
    </row>
    <row r="405" spans="11:11">
      <c r="K405" s="23"/>
    </row>
    <row r="406" spans="11:11">
      <c r="K406" s="23"/>
    </row>
    <row r="407" spans="11:11">
      <c r="K407" s="23"/>
    </row>
    <row r="408" spans="11:11">
      <c r="K408" s="23"/>
    </row>
    <row r="409" spans="11:11">
      <c r="K409" s="23"/>
    </row>
    <row r="410" spans="11:11">
      <c r="K410" s="23"/>
    </row>
    <row r="411" spans="11:11">
      <c r="K411" s="23"/>
    </row>
    <row r="412" spans="11:11">
      <c r="K412" s="23"/>
    </row>
    <row r="413" spans="11:11">
      <c r="K413" s="23"/>
    </row>
    <row r="414" spans="11:11">
      <c r="K414" s="23"/>
    </row>
    <row r="415" spans="11:11">
      <c r="K415" s="23"/>
    </row>
    <row r="416" spans="11:11">
      <c r="K416" s="23"/>
    </row>
    <row r="417" spans="11:11">
      <c r="K417" s="23"/>
    </row>
    <row r="418" spans="11:11">
      <c r="K418" s="23"/>
    </row>
    <row r="419" spans="11:11">
      <c r="K419" s="23"/>
    </row>
    <row r="420" spans="11:11">
      <c r="K420" s="23"/>
    </row>
    <row r="421" spans="11:11">
      <c r="K421" s="23"/>
    </row>
    <row r="422" spans="11:11">
      <c r="K422" s="23"/>
    </row>
    <row r="423" spans="11:11">
      <c r="K423" s="23"/>
    </row>
    <row r="424" spans="11:11">
      <c r="K424" s="23"/>
    </row>
    <row r="425" spans="11:11">
      <c r="K425" s="23"/>
    </row>
    <row r="426" spans="11:11">
      <c r="K426" s="23"/>
    </row>
    <row r="427" spans="11:11">
      <c r="K427" s="23"/>
    </row>
    <row r="428" spans="11:11">
      <c r="K428" s="23"/>
    </row>
    <row r="429" spans="11:11">
      <c r="K429" s="23"/>
    </row>
    <row r="430" spans="11:11">
      <c r="K430" s="23"/>
    </row>
    <row r="431" spans="11:11">
      <c r="K431" s="23"/>
    </row>
    <row r="432" spans="11:11">
      <c r="K432" s="23"/>
    </row>
    <row r="433" spans="11:11">
      <c r="K433" s="23"/>
    </row>
    <row r="434" spans="11:11">
      <c r="K434" s="23"/>
    </row>
    <row r="435" spans="11:11">
      <c r="K435" s="23"/>
    </row>
    <row r="436" spans="11:11">
      <c r="K436" s="23"/>
    </row>
    <row r="437" spans="11:11">
      <c r="K437" s="23"/>
    </row>
    <row r="438" spans="11:11">
      <c r="K438" s="23"/>
    </row>
    <row r="439" spans="11:11">
      <c r="K439" s="23"/>
    </row>
    <row r="440" spans="11:11">
      <c r="K440" s="23"/>
    </row>
    <row r="441" spans="11:11">
      <c r="K441" s="23"/>
    </row>
    <row r="442" spans="11:11">
      <c r="K442" s="23"/>
    </row>
    <row r="443" spans="11:11">
      <c r="K443" s="23"/>
    </row>
    <row r="444" spans="11:11">
      <c r="K444" s="23"/>
    </row>
    <row r="445" spans="11:11">
      <c r="K445" s="23"/>
    </row>
    <row r="446" spans="11:11">
      <c r="K446" s="23"/>
    </row>
    <row r="447" spans="11:11">
      <c r="K447" s="23"/>
    </row>
    <row r="448" spans="11:11">
      <c r="K448" s="23"/>
    </row>
    <row r="449" spans="11:11">
      <c r="K449" s="23"/>
    </row>
    <row r="450" spans="11:11">
      <c r="K450" s="23"/>
    </row>
    <row r="451" spans="11:11">
      <c r="K451" s="23"/>
    </row>
    <row r="452" spans="11:11">
      <c r="K452" s="23"/>
    </row>
    <row r="453" spans="11:11">
      <c r="K453" s="23"/>
    </row>
    <row r="454" spans="11:11">
      <c r="K454" s="23"/>
    </row>
    <row r="455" spans="11:11">
      <c r="K455" s="50"/>
    </row>
    <row r="456" spans="11:11">
      <c r="K456" s="23"/>
    </row>
    <row r="457" spans="11:11">
      <c r="K457" s="23"/>
    </row>
    <row r="458" spans="11:11">
      <c r="K458" s="23"/>
    </row>
    <row r="459" spans="11:11">
      <c r="K459" s="23"/>
    </row>
    <row r="460" spans="11:11">
      <c r="K460" s="23"/>
    </row>
    <row r="461" spans="11:11">
      <c r="K461" s="23"/>
    </row>
    <row r="462" spans="11:11">
      <c r="K462" s="23"/>
    </row>
    <row r="463" spans="11:11">
      <c r="K463" s="23"/>
    </row>
    <row r="464" spans="11:11">
      <c r="K464" s="23"/>
    </row>
    <row r="465" spans="11:11">
      <c r="K465" s="23"/>
    </row>
    <row r="466" spans="11:11">
      <c r="K466" s="23"/>
    </row>
    <row r="467" spans="11:11">
      <c r="K467" s="23"/>
    </row>
    <row r="468" spans="11:11">
      <c r="K468" s="23"/>
    </row>
    <row r="469" spans="11:11">
      <c r="K469" s="23"/>
    </row>
    <row r="470" spans="11:11">
      <c r="K470" s="23"/>
    </row>
    <row r="471" spans="11:11">
      <c r="K471" s="23"/>
    </row>
    <row r="472" spans="11:11">
      <c r="K472" s="23"/>
    </row>
    <row r="473" spans="11:11">
      <c r="K473" s="23"/>
    </row>
    <row r="474" spans="11:11">
      <c r="K474" s="23"/>
    </row>
    <row r="475" spans="11:11">
      <c r="K475" s="23"/>
    </row>
    <row r="476" spans="11:11">
      <c r="K476" s="23"/>
    </row>
    <row r="477" spans="11:11">
      <c r="K477" s="23"/>
    </row>
    <row r="478" spans="11:11">
      <c r="K478" s="23"/>
    </row>
    <row r="479" spans="11:11">
      <c r="K479" s="23"/>
    </row>
    <row r="480" spans="11:11">
      <c r="K480" s="23"/>
    </row>
    <row r="481" spans="11:11">
      <c r="K481" s="23"/>
    </row>
    <row r="482" spans="11:11">
      <c r="K482" s="23"/>
    </row>
    <row r="483" spans="11:11">
      <c r="K483" s="23"/>
    </row>
    <row r="484" spans="11:11">
      <c r="K484" s="23"/>
    </row>
    <row r="485" spans="11:11">
      <c r="K485" s="23"/>
    </row>
    <row r="486" spans="11:11">
      <c r="K486" s="23"/>
    </row>
    <row r="487" spans="11:11">
      <c r="K487" s="23"/>
    </row>
    <row r="488" spans="11:11">
      <c r="K488" s="23"/>
    </row>
    <row r="489" spans="11:11">
      <c r="K489" s="23"/>
    </row>
    <row r="490" spans="11:11">
      <c r="K490" s="23"/>
    </row>
    <row r="491" spans="11:11">
      <c r="K491" s="23"/>
    </row>
    <row r="492" spans="11:11">
      <c r="K492" s="23"/>
    </row>
    <row r="493" spans="11:11">
      <c r="K493" s="23"/>
    </row>
    <row r="494" spans="11:11">
      <c r="K494" s="23"/>
    </row>
    <row r="495" spans="11:11">
      <c r="K495" s="23"/>
    </row>
    <row r="496" spans="11:11">
      <c r="K496" s="23"/>
    </row>
    <row r="497" spans="11:11">
      <c r="K497" s="23"/>
    </row>
    <row r="498" spans="11:11">
      <c r="K498" s="23"/>
    </row>
    <row r="499" spans="11:11">
      <c r="K499" s="23"/>
    </row>
    <row r="500" spans="11:11">
      <c r="K500" s="23"/>
    </row>
    <row r="501" spans="11:11">
      <c r="K501" s="23"/>
    </row>
    <row r="502" spans="11:11">
      <c r="K502" s="23"/>
    </row>
    <row r="503" spans="11:11">
      <c r="K503" s="23"/>
    </row>
    <row r="504" spans="11:11">
      <c r="K504" s="23"/>
    </row>
    <row r="505" spans="11:11">
      <c r="K505" s="23"/>
    </row>
    <row r="506" spans="11:11">
      <c r="K506" s="23"/>
    </row>
    <row r="507" spans="11:11">
      <c r="K507" s="23"/>
    </row>
    <row r="508" spans="11:11">
      <c r="K508" s="23"/>
    </row>
    <row r="509" spans="11:11">
      <c r="K509" s="23"/>
    </row>
    <row r="510" spans="11:11">
      <c r="K510" s="23"/>
    </row>
    <row r="511" spans="11:11">
      <c r="K511" s="23"/>
    </row>
    <row r="512" spans="11:11">
      <c r="K512" s="23"/>
    </row>
    <row r="513" spans="11:11">
      <c r="K513" s="23"/>
    </row>
    <row r="514" spans="11:11">
      <c r="K514" s="23"/>
    </row>
    <row r="515" spans="11:11">
      <c r="K515" s="23"/>
    </row>
    <row r="516" spans="11:11">
      <c r="K516" s="23"/>
    </row>
    <row r="517" spans="11:11">
      <c r="K517" s="23"/>
    </row>
    <row r="518" spans="11:11">
      <c r="K518" s="23"/>
    </row>
    <row r="519" spans="11:11">
      <c r="K519" s="23"/>
    </row>
    <row r="520" spans="11:11">
      <c r="K520" s="23"/>
    </row>
    <row r="521" spans="11:11">
      <c r="K521" s="23"/>
    </row>
    <row r="522" spans="11:11">
      <c r="K522" s="23"/>
    </row>
    <row r="523" spans="11:11">
      <c r="K523" s="50"/>
    </row>
    <row r="524" spans="11:11">
      <c r="K524" s="23"/>
    </row>
    <row r="525" spans="11:11">
      <c r="K525" s="23"/>
    </row>
    <row r="526" spans="11:11">
      <c r="K526" s="23"/>
    </row>
    <row r="527" spans="11:11">
      <c r="K527" s="23"/>
    </row>
    <row r="528" spans="11:11">
      <c r="K528" s="23"/>
    </row>
    <row r="529" spans="11:11">
      <c r="K529" s="23"/>
    </row>
    <row r="530" spans="11:11">
      <c r="K530" s="23"/>
    </row>
    <row r="531" spans="11:11">
      <c r="K531" s="23"/>
    </row>
    <row r="532" spans="11:11">
      <c r="K532" s="23"/>
    </row>
    <row r="533" spans="11:11">
      <c r="K533" s="23"/>
    </row>
    <row r="534" spans="11:11">
      <c r="K534" s="23"/>
    </row>
    <row r="535" spans="11:11">
      <c r="K535" s="23"/>
    </row>
    <row r="536" spans="11:11">
      <c r="K536" s="23"/>
    </row>
    <row r="537" spans="11:11">
      <c r="K537" s="23"/>
    </row>
    <row r="538" spans="11:11">
      <c r="K538" s="23"/>
    </row>
    <row r="539" spans="11:11">
      <c r="K539" s="23"/>
    </row>
    <row r="540" spans="11:11">
      <c r="K540" s="23"/>
    </row>
    <row r="541" spans="11:11">
      <c r="K541" s="23"/>
    </row>
    <row r="542" spans="11:11">
      <c r="K542" s="23"/>
    </row>
    <row r="543" spans="11:11">
      <c r="K543" s="23"/>
    </row>
    <row r="544" spans="11:11">
      <c r="K544" s="23"/>
    </row>
    <row r="545" spans="11:11">
      <c r="K545" s="23"/>
    </row>
    <row r="546" spans="11:11">
      <c r="K546" s="23"/>
    </row>
    <row r="547" spans="11:11">
      <c r="K547" s="23"/>
    </row>
    <row r="548" spans="11:11">
      <c r="K548" s="23"/>
    </row>
    <row r="549" spans="11:11">
      <c r="K549" s="23"/>
    </row>
    <row r="550" spans="11:11">
      <c r="K550" s="23"/>
    </row>
    <row r="551" spans="11:11">
      <c r="K551" s="23"/>
    </row>
    <row r="552" spans="11:11">
      <c r="K552" s="23"/>
    </row>
    <row r="553" spans="11:11">
      <c r="K553" s="23"/>
    </row>
    <row r="554" spans="11:11">
      <c r="K554" s="23"/>
    </row>
    <row r="555" spans="11:11">
      <c r="K555" s="23"/>
    </row>
    <row r="556" spans="11:11">
      <c r="K556" s="23"/>
    </row>
    <row r="557" spans="11:11">
      <c r="K557" s="23"/>
    </row>
    <row r="558" spans="11:11">
      <c r="K558" s="23"/>
    </row>
    <row r="559" spans="11:11">
      <c r="K559" s="23"/>
    </row>
    <row r="560" spans="11:11">
      <c r="K560" s="23"/>
    </row>
    <row r="561" spans="11:11">
      <c r="K561" s="23"/>
    </row>
    <row r="562" spans="11:11">
      <c r="K562" s="23"/>
    </row>
    <row r="563" spans="11:11">
      <c r="K563" s="23"/>
    </row>
    <row r="564" spans="11:11">
      <c r="K564" s="23"/>
    </row>
    <row r="565" spans="11:11">
      <c r="K565" s="23"/>
    </row>
    <row r="566" spans="11:11">
      <c r="K566" s="23"/>
    </row>
    <row r="567" spans="11:11">
      <c r="K567" s="23"/>
    </row>
    <row r="568" spans="11:11">
      <c r="K568" s="23"/>
    </row>
    <row r="569" spans="11:11">
      <c r="K569" s="23"/>
    </row>
    <row r="570" spans="11:11">
      <c r="K570" s="23"/>
    </row>
    <row r="571" spans="11:11">
      <c r="K571" s="23"/>
    </row>
    <row r="572" spans="11:11">
      <c r="K572" s="23"/>
    </row>
    <row r="573" spans="11:11">
      <c r="K573" s="23"/>
    </row>
    <row r="574" spans="11:11">
      <c r="K574" s="23"/>
    </row>
    <row r="575" spans="11:11">
      <c r="K575" s="23"/>
    </row>
    <row r="576" spans="11:11">
      <c r="K576" s="23"/>
    </row>
    <row r="577" spans="11:11">
      <c r="K577" s="23"/>
    </row>
    <row r="578" spans="11:11">
      <c r="K578" s="23"/>
    </row>
    <row r="579" spans="11:11">
      <c r="K579" s="23"/>
    </row>
    <row r="580" spans="11:11">
      <c r="K580" s="23"/>
    </row>
    <row r="581" spans="11:11">
      <c r="K581" s="23"/>
    </row>
    <row r="582" spans="11:11">
      <c r="K582" s="23"/>
    </row>
    <row r="583" spans="11:11">
      <c r="K583" s="23"/>
    </row>
    <row r="584" spans="11:11">
      <c r="K584" s="23"/>
    </row>
    <row r="585" spans="11:11">
      <c r="K585" s="23"/>
    </row>
    <row r="586" spans="11:11">
      <c r="K586" s="23"/>
    </row>
    <row r="587" spans="11:11">
      <c r="K587" s="23"/>
    </row>
    <row r="588" spans="11:11">
      <c r="K588" s="23"/>
    </row>
    <row r="589" spans="11:11">
      <c r="K589" s="23"/>
    </row>
    <row r="590" spans="11:11">
      <c r="K590" s="23"/>
    </row>
    <row r="591" spans="11:11">
      <c r="K591" s="23"/>
    </row>
    <row r="592" spans="11:11">
      <c r="K592" s="23"/>
    </row>
    <row r="593" spans="11:11">
      <c r="K593" s="23"/>
    </row>
    <row r="594" spans="11:11">
      <c r="K594" s="23"/>
    </row>
    <row r="595" spans="11:11">
      <c r="K595" s="50"/>
    </row>
    <row r="596" spans="11:11">
      <c r="K596" s="23"/>
    </row>
    <row r="597" spans="11:11">
      <c r="K597" s="23"/>
    </row>
    <row r="598" spans="11:11">
      <c r="K598" s="23"/>
    </row>
    <row r="599" spans="11:11">
      <c r="K599" s="23"/>
    </row>
    <row r="600" spans="11:11">
      <c r="K600" s="23"/>
    </row>
    <row r="601" spans="11:11">
      <c r="K601" s="23"/>
    </row>
    <row r="602" spans="11:11">
      <c r="K602" s="23"/>
    </row>
    <row r="603" spans="11:11">
      <c r="K603" s="23"/>
    </row>
    <row r="604" spans="11:11">
      <c r="K604" s="23"/>
    </row>
    <row r="605" spans="11:11">
      <c r="K605" s="23"/>
    </row>
    <row r="606" spans="11:11">
      <c r="K606" s="23"/>
    </row>
    <row r="607" spans="11:11">
      <c r="K607" s="23"/>
    </row>
    <row r="608" spans="11:11">
      <c r="K608" s="23"/>
    </row>
    <row r="609" spans="11:11">
      <c r="K609" s="23"/>
    </row>
    <row r="610" spans="11:11">
      <c r="K610" s="23"/>
    </row>
    <row r="611" spans="11:11">
      <c r="K611" s="23"/>
    </row>
    <row r="612" spans="11:11">
      <c r="K612" s="23"/>
    </row>
    <row r="613" spans="11:11">
      <c r="K613" s="23"/>
    </row>
    <row r="614" spans="11:11">
      <c r="K614" s="23"/>
    </row>
    <row r="615" spans="11:11">
      <c r="K615" s="23"/>
    </row>
    <row r="616" spans="11:11">
      <c r="K616" s="23"/>
    </row>
    <row r="617" spans="11:11">
      <c r="K617" s="23"/>
    </row>
    <row r="618" spans="11:11">
      <c r="K618" s="23"/>
    </row>
    <row r="619" spans="11:11">
      <c r="K619" s="23"/>
    </row>
    <row r="620" spans="11:11">
      <c r="K620" s="23"/>
    </row>
    <row r="621" spans="11:11">
      <c r="K621" s="23"/>
    </row>
    <row r="622" spans="11:11">
      <c r="K622" s="24"/>
    </row>
    <row r="623" spans="11:11">
      <c r="K623" s="23"/>
    </row>
    <row r="624" spans="11:11">
      <c r="K624" s="23"/>
    </row>
    <row r="625" spans="11:11">
      <c r="K625" s="23"/>
    </row>
    <row r="626" spans="11:11">
      <c r="K626" s="23"/>
    </row>
    <row r="627" spans="11:11">
      <c r="K627" s="23"/>
    </row>
    <row r="628" spans="11:11">
      <c r="K628" s="23"/>
    </row>
    <row r="629" spans="11:11">
      <c r="K629" s="23"/>
    </row>
    <row r="630" spans="11:11">
      <c r="K630" s="23"/>
    </row>
    <row r="631" spans="11:11">
      <c r="K631" s="23"/>
    </row>
    <row r="632" spans="11:11">
      <c r="K632" s="23"/>
    </row>
    <row r="633" spans="11:11">
      <c r="K633" s="23"/>
    </row>
    <row r="634" spans="11:11">
      <c r="K634" s="23"/>
    </row>
    <row r="635" spans="11:11">
      <c r="K635" s="23"/>
    </row>
    <row r="636" spans="11:11">
      <c r="K636" s="23"/>
    </row>
    <row r="637" spans="11:11">
      <c r="K637" s="23"/>
    </row>
    <row r="638" spans="11:11">
      <c r="K638" s="23"/>
    </row>
    <row r="639" spans="11:11">
      <c r="K639" s="23"/>
    </row>
    <row r="640" spans="11:11">
      <c r="K640" s="23"/>
    </row>
    <row r="641" spans="11:11">
      <c r="K641" s="23"/>
    </row>
    <row r="642" spans="11:11">
      <c r="K642" s="23"/>
    </row>
    <row r="643" spans="11:11">
      <c r="K643" s="23"/>
    </row>
    <row r="644" spans="11:11">
      <c r="K644" s="23"/>
    </row>
    <row r="645" spans="11:11">
      <c r="K645" s="23"/>
    </row>
    <row r="646" spans="11:11">
      <c r="K646" s="23"/>
    </row>
    <row r="647" spans="11:11">
      <c r="K647" s="23"/>
    </row>
    <row r="648" spans="11:11">
      <c r="K648" s="23"/>
    </row>
    <row r="649" spans="11:11">
      <c r="K649" s="23"/>
    </row>
    <row r="650" spans="11:11">
      <c r="K650" s="23"/>
    </row>
    <row r="651" spans="11:11">
      <c r="K651" s="23"/>
    </row>
    <row r="652" spans="11:11">
      <c r="K652" s="23"/>
    </row>
    <row r="653" spans="11:11">
      <c r="K653" s="23"/>
    </row>
    <row r="654" spans="11:11">
      <c r="K654" s="23"/>
    </row>
    <row r="655" spans="11:11">
      <c r="K655" s="23"/>
    </row>
    <row r="656" spans="11:11">
      <c r="K656" s="23"/>
    </row>
    <row r="657" spans="11:11">
      <c r="K657" s="23"/>
    </row>
    <row r="658" spans="11:11">
      <c r="K658" s="23"/>
    </row>
    <row r="659" spans="11:11">
      <c r="K659" s="23"/>
    </row>
    <row r="660" spans="11:11">
      <c r="K660" s="23"/>
    </row>
    <row r="661" spans="11:11">
      <c r="K661" s="23"/>
    </row>
    <row r="662" spans="11:11">
      <c r="K662" s="23"/>
    </row>
    <row r="663" spans="11:11">
      <c r="K663" s="23"/>
    </row>
    <row r="664" spans="11:11">
      <c r="K664" s="23"/>
    </row>
    <row r="665" spans="11:11">
      <c r="K665" s="23"/>
    </row>
    <row r="666" spans="11:11">
      <c r="K666" s="23"/>
    </row>
    <row r="667" spans="11:11">
      <c r="K667" s="23"/>
    </row>
    <row r="668" spans="11:11">
      <c r="K668" s="23"/>
    </row>
    <row r="669" spans="11:11">
      <c r="K669" s="23"/>
    </row>
    <row r="670" spans="11:11">
      <c r="K670" s="23"/>
    </row>
    <row r="671" spans="11:11">
      <c r="K671" s="23"/>
    </row>
    <row r="672" spans="11:11">
      <c r="K672" s="23"/>
    </row>
    <row r="673" spans="11:11">
      <c r="K673" s="23"/>
    </row>
    <row r="674" spans="11:11">
      <c r="K674" s="23"/>
    </row>
    <row r="675" spans="11:11">
      <c r="K675" s="23"/>
    </row>
    <row r="676" spans="11:11">
      <c r="K676" s="23"/>
    </row>
    <row r="677" spans="11:11">
      <c r="K677" s="23"/>
    </row>
    <row r="678" spans="11:11">
      <c r="K678" s="23"/>
    </row>
    <row r="679" spans="11:11">
      <c r="K679" s="23"/>
    </row>
    <row r="680" spans="11:11">
      <c r="K680" s="23"/>
    </row>
    <row r="681" spans="11:11">
      <c r="K681" s="23"/>
    </row>
    <row r="682" spans="11:11">
      <c r="K682" s="23"/>
    </row>
    <row r="683" spans="11:11">
      <c r="K683" s="23"/>
    </row>
    <row r="684" spans="11:11">
      <c r="K684" s="23"/>
    </row>
    <row r="685" spans="11:11">
      <c r="K685" s="23"/>
    </row>
    <row r="686" spans="11:11">
      <c r="K686" s="23"/>
    </row>
    <row r="687" spans="11:11">
      <c r="K687" s="23"/>
    </row>
    <row r="688" spans="11:11">
      <c r="K688" s="23"/>
    </row>
    <row r="689" spans="11:11">
      <c r="K689" s="23"/>
    </row>
    <row r="690" spans="11:11">
      <c r="K690" s="23"/>
    </row>
    <row r="691" spans="11:11">
      <c r="K691" s="23"/>
    </row>
    <row r="692" spans="11:11">
      <c r="K692" s="23"/>
    </row>
    <row r="693" spans="11:11">
      <c r="K693" s="23"/>
    </row>
    <row r="694" spans="11:11">
      <c r="K694" s="23"/>
    </row>
    <row r="695" spans="11:11">
      <c r="K695" s="23"/>
    </row>
    <row r="696" spans="11:11">
      <c r="K696" s="23"/>
    </row>
    <row r="697" spans="11:11">
      <c r="K697" s="23"/>
    </row>
    <row r="698" spans="11:11">
      <c r="K698" s="23"/>
    </row>
    <row r="699" spans="11:11">
      <c r="K699" s="23"/>
    </row>
    <row r="700" spans="11:11">
      <c r="K700" s="23"/>
    </row>
    <row r="701" spans="11:11">
      <c r="K701" s="23"/>
    </row>
    <row r="702" spans="11:11">
      <c r="K702" s="23"/>
    </row>
    <row r="703" spans="11:11">
      <c r="K703" s="23"/>
    </row>
    <row r="704" spans="11:11">
      <c r="K704" s="23"/>
    </row>
    <row r="705" spans="11:11">
      <c r="K705" s="23"/>
    </row>
    <row r="706" spans="11:11">
      <c r="K706" s="23"/>
    </row>
    <row r="707" spans="11:11">
      <c r="K707" s="23"/>
    </row>
    <row r="708" spans="11:11">
      <c r="K708" s="23"/>
    </row>
    <row r="709" spans="11:11">
      <c r="K709" s="23"/>
    </row>
    <row r="710" spans="11:11">
      <c r="K710" s="23"/>
    </row>
    <row r="711" spans="11:11">
      <c r="K711" s="23"/>
    </row>
    <row r="712" spans="11:11">
      <c r="K712" s="23"/>
    </row>
    <row r="713" spans="11:11">
      <c r="K713" s="23"/>
    </row>
    <row r="714" spans="11:11">
      <c r="K714" s="23"/>
    </row>
    <row r="715" spans="11:11">
      <c r="K715" s="23"/>
    </row>
    <row r="716" spans="11:11">
      <c r="K716" s="23"/>
    </row>
    <row r="717" spans="11:11">
      <c r="K717" s="23"/>
    </row>
    <row r="718" spans="11:11">
      <c r="K718" s="23"/>
    </row>
    <row r="719" spans="11:11">
      <c r="K719" s="23"/>
    </row>
    <row r="720" spans="11:11">
      <c r="K720" s="23"/>
    </row>
    <row r="721" spans="11:11">
      <c r="K721" s="23"/>
    </row>
    <row r="722" spans="11:11">
      <c r="K722" s="23"/>
    </row>
    <row r="723" spans="11:11">
      <c r="K723" s="23"/>
    </row>
    <row r="724" spans="11:11">
      <c r="K724" s="23"/>
    </row>
    <row r="725" spans="11:11">
      <c r="K725" s="23"/>
    </row>
    <row r="726" spans="11:11">
      <c r="K726" s="23"/>
    </row>
    <row r="727" spans="11:11">
      <c r="K727" s="23"/>
    </row>
    <row r="728" spans="11:11">
      <c r="K728" s="23"/>
    </row>
    <row r="729" spans="11:11">
      <c r="K729" s="23"/>
    </row>
    <row r="730" spans="11:11">
      <c r="K730" s="23"/>
    </row>
    <row r="731" spans="11:11">
      <c r="K731" s="23"/>
    </row>
    <row r="732" spans="11:11">
      <c r="K732" s="23"/>
    </row>
    <row r="733" spans="11:11">
      <c r="K733" s="23"/>
    </row>
    <row r="734" spans="11:11">
      <c r="K734" s="23"/>
    </row>
    <row r="735" spans="11:11">
      <c r="K735" s="23"/>
    </row>
    <row r="736" spans="11:11">
      <c r="K736" s="23"/>
    </row>
    <row r="737" spans="11:11">
      <c r="K737" s="23"/>
    </row>
    <row r="738" spans="11:11">
      <c r="K738" s="23"/>
    </row>
    <row r="739" spans="11:11">
      <c r="K739" s="23"/>
    </row>
    <row r="740" spans="11:11">
      <c r="K740" s="23"/>
    </row>
    <row r="741" spans="11:11">
      <c r="K741" s="23"/>
    </row>
    <row r="742" spans="11:11">
      <c r="K742" s="23"/>
    </row>
    <row r="743" spans="11:11">
      <c r="K743" s="23"/>
    </row>
    <row r="744" spans="11:11">
      <c r="K744" s="23"/>
    </row>
    <row r="745" spans="11:11">
      <c r="K745" s="23"/>
    </row>
    <row r="746" spans="11:11">
      <c r="K746" s="23"/>
    </row>
    <row r="747" spans="11:11">
      <c r="K747" s="23"/>
    </row>
    <row r="748" spans="11:11">
      <c r="K748" s="23"/>
    </row>
    <row r="749" spans="11:11">
      <c r="K749" s="23"/>
    </row>
    <row r="750" spans="11:11">
      <c r="K750" s="23"/>
    </row>
    <row r="751" spans="11:11">
      <c r="K751" s="23"/>
    </row>
    <row r="752" spans="11:11">
      <c r="K752" s="23"/>
    </row>
    <row r="753" spans="11:11">
      <c r="K753" s="23"/>
    </row>
    <row r="754" spans="11:11">
      <c r="K754" s="23"/>
    </row>
    <row r="755" spans="11:11">
      <c r="K755" s="23"/>
    </row>
    <row r="756" spans="11:11">
      <c r="K756" s="23"/>
    </row>
    <row r="757" spans="11:11">
      <c r="K757" s="23"/>
    </row>
    <row r="758" spans="11:11">
      <c r="K758" s="23"/>
    </row>
    <row r="759" spans="11:11">
      <c r="K759" s="23"/>
    </row>
    <row r="760" spans="11:11">
      <c r="K760" s="23"/>
    </row>
    <row r="761" spans="11:11">
      <c r="K761" s="23"/>
    </row>
    <row r="762" spans="11:11">
      <c r="K762" s="23"/>
    </row>
    <row r="763" spans="11:11">
      <c r="K763" s="23"/>
    </row>
    <row r="764" spans="11:11">
      <c r="K764" s="23"/>
    </row>
    <row r="765" spans="11:11">
      <c r="K765" s="23"/>
    </row>
    <row r="766" spans="11:11">
      <c r="K766" s="23"/>
    </row>
    <row r="767" spans="11:11">
      <c r="K767" s="23"/>
    </row>
    <row r="768" spans="11:11">
      <c r="K768" s="23"/>
    </row>
    <row r="769" spans="11:11">
      <c r="K769" s="23"/>
    </row>
    <row r="770" spans="11:11">
      <c r="K770" s="23"/>
    </row>
    <row r="771" spans="11:11">
      <c r="K771" s="23"/>
    </row>
    <row r="772" spans="11:11">
      <c r="K772" s="23"/>
    </row>
    <row r="773" spans="11:11">
      <c r="K773" s="23"/>
    </row>
    <row r="774" spans="11:11">
      <c r="K774" s="23"/>
    </row>
    <row r="775" spans="11:11">
      <c r="K775" s="23"/>
    </row>
    <row r="776" spans="11:11">
      <c r="K776" s="23"/>
    </row>
    <row r="777" spans="11:11">
      <c r="K777" s="23"/>
    </row>
    <row r="778" spans="11:11">
      <c r="K778" s="23"/>
    </row>
    <row r="779" spans="11:11">
      <c r="K779" s="23"/>
    </row>
    <row r="780" spans="11:11">
      <c r="K780" s="23"/>
    </row>
    <row r="781" spans="11:11">
      <c r="K781" s="23"/>
    </row>
    <row r="782" spans="11:11">
      <c r="K782" s="23"/>
    </row>
    <row r="783" spans="11:11">
      <c r="K783" s="23"/>
    </row>
    <row r="784" spans="11:11">
      <c r="K784" s="23"/>
    </row>
    <row r="785" spans="11:11">
      <c r="K785" s="23"/>
    </row>
    <row r="786" spans="11:11">
      <c r="K786" s="23"/>
    </row>
    <row r="787" spans="11:11">
      <c r="K787" s="23"/>
    </row>
    <row r="788" spans="11:11">
      <c r="K788" s="23"/>
    </row>
    <row r="789" spans="11:11">
      <c r="K789" s="23"/>
    </row>
    <row r="790" spans="11:11">
      <c r="K790" s="23"/>
    </row>
    <row r="791" spans="11:11">
      <c r="K791" s="23"/>
    </row>
    <row r="792" spans="11:11">
      <c r="K792" s="23"/>
    </row>
    <row r="793" spans="11:11">
      <c r="K793" s="23"/>
    </row>
    <row r="794" spans="11:11">
      <c r="K794" s="23"/>
    </row>
    <row r="795" spans="11:11">
      <c r="K795" s="23"/>
    </row>
    <row r="796" spans="11:11">
      <c r="K796" s="23"/>
    </row>
    <row r="797" spans="11:11">
      <c r="K797" s="23"/>
    </row>
    <row r="798" spans="11:11">
      <c r="K798" s="23"/>
    </row>
    <row r="799" spans="11:11">
      <c r="K799" s="23"/>
    </row>
    <row r="800" spans="11:11">
      <c r="K800" s="23"/>
    </row>
    <row r="801" spans="11:11">
      <c r="K801" s="23"/>
    </row>
    <row r="802" spans="11:11">
      <c r="K802" s="23"/>
    </row>
    <row r="803" spans="11:11">
      <c r="K803" s="23"/>
    </row>
    <row r="804" spans="11:11">
      <c r="K804" s="23"/>
    </row>
    <row r="805" spans="11:11">
      <c r="K805" s="23"/>
    </row>
    <row r="806" spans="11:11">
      <c r="K806" s="23"/>
    </row>
    <row r="807" spans="11:11">
      <c r="K807" s="23"/>
    </row>
    <row r="808" spans="11:11">
      <c r="K808" s="23"/>
    </row>
    <row r="809" spans="11:11">
      <c r="K809" s="23"/>
    </row>
    <row r="810" spans="11:11">
      <c r="K810" s="23"/>
    </row>
    <row r="811" spans="11:11">
      <c r="K811" s="23"/>
    </row>
    <row r="812" spans="11:11">
      <c r="K812" s="23"/>
    </row>
    <row r="813" spans="11:11">
      <c r="K813" s="23"/>
    </row>
    <row r="814" spans="11:11">
      <c r="K814" s="23"/>
    </row>
    <row r="815" spans="11:11">
      <c r="K815" s="23"/>
    </row>
    <row r="816" spans="11:11">
      <c r="K816" s="23"/>
    </row>
    <row r="817" spans="11:11">
      <c r="K817" s="23"/>
    </row>
    <row r="818" spans="11:11">
      <c r="K818" s="23"/>
    </row>
    <row r="819" spans="11:11">
      <c r="K819" s="23"/>
    </row>
    <row r="820" spans="11:11">
      <c r="K820" s="23"/>
    </row>
    <row r="821" spans="11:11">
      <c r="K821" s="23"/>
    </row>
    <row r="822" spans="11:11">
      <c r="K822" s="23"/>
    </row>
    <row r="823" spans="11:11">
      <c r="K823" s="23"/>
    </row>
    <row r="824" spans="11:11">
      <c r="K824" s="23"/>
    </row>
    <row r="825" spans="11:11">
      <c r="K825" s="23"/>
    </row>
    <row r="826" spans="11:11">
      <c r="K826" s="23"/>
    </row>
    <row r="827" spans="11:11">
      <c r="K827" s="23"/>
    </row>
    <row r="828" spans="11:11">
      <c r="K828" s="23"/>
    </row>
    <row r="829" spans="11:11">
      <c r="K829" s="23"/>
    </row>
    <row r="830" spans="11:11">
      <c r="K830" s="23"/>
    </row>
    <row r="831" spans="11:11">
      <c r="K831" s="23"/>
    </row>
    <row r="832" spans="11:11">
      <c r="K832" s="23"/>
    </row>
    <row r="833" spans="11:11">
      <c r="K833" s="23"/>
    </row>
    <row r="834" spans="11:11">
      <c r="K834" s="23"/>
    </row>
    <row r="835" spans="11:11">
      <c r="K835" s="23"/>
    </row>
    <row r="836" spans="11:11">
      <c r="K836" s="23"/>
    </row>
    <row r="837" spans="11:11">
      <c r="K837" s="23"/>
    </row>
    <row r="838" spans="11:11">
      <c r="K838" s="23"/>
    </row>
    <row r="839" spans="11:11">
      <c r="K839" s="23"/>
    </row>
    <row r="840" spans="11:11">
      <c r="K840" s="23"/>
    </row>
    <row r="841" spans="11:11">
      <c r="K841" s="23"/>
    </row>
    <row r="842" spans="11:11">
      <c r="K842" s="23"/>
    </row>
    <row r="843" spans="11:11">
      <c r="K843" s="23"/>
    </row>
    <row r="844" spans="11:11">
      <c r="K844" s="23"/>
    </row>
    <row r="845" spans="11:11">
      <c r="K845" s="23"/>
    </row>
    <row r="846" spans="11:11">
      <c r="K846" s="23"/>
    </row>
    <row r="847" spans="11:11">
      <c r="K847" s="23"/>
    </row>
    <row r="848" spans="11:11">
      <c r="K848" s="23"/>
    </row>
    <row r="849" spans="11:11">
      <c r="K849" s="23"/>
    </row>
    <row r="850" spans="11:11">
      <c r="K850" s="23"/>
    </row>
    <row r="851" spans="11:11">
      <c r="K851" s="23"/>
    </row>
    <row r="852" spans="11:11">
      <c r="K852" s="23"/>
    </row>
    <row r="853" spans="11:11">
      <c r="K853" s="23"/>
    </row>
    <row r="854" spans="11:11">
      <c r="K854" s="23"/>
    </row>
    <row r="855" spans="11:11">
      <c r="K855" s="23"/>
    </row>
    <row r="856" spans="11:11">
      <c r="K856" s="23"/>
    </row>
    <row r="857" spans="11:11">
      <c r="K857" s="23"/>
    </row>
    <row r="858" spans="11:11">
      <c r="K858" s="23"/>
    </row>
    <row r="859" spans="11:11">
      <c r="K859" s="23"/>
    </row>
    <row r="860" spans="11:11">
      <c r="K860" s="23"/>
    </row>
    <row r="861" spans="11:11">
      <c r="K861" s="23"/>
    </row>
    <row r="862" spans="11:11">
      <c r="K862" s="23"/>
    </row>
    <row r="863" spans="11:11">
      <c r="K863" s="23"/>
    </row>
    <row r="864" spans="11:11">
      <c r="K864" s="23"/>
    </row>
    <row r="865" spans="11:11">
      <c r="K865" s="23"/>
    </row>
    <row r="866" spans="11:11">
      <c r="K866" s="23"/>
    </row>
    <row r="867" spans="11:11">
      <c r="K867" s="23"/>
    </row>
    <row r="868" spans="11:11">
      <c r="K868" s="23"/>
    </row>
    <row r="869" spans="11:11">
      <c r="K869" s="23"/>
    </row>
    <row r="870" spans="11:11">
      <c r="K870" s="23"/>
    </row>
    <row r="871" spans="11:11">
      <c r="K871" s="23"/>
    </row>
    <row r="872" spans="11:11">
      <c r="K872" s="23"/>
    </row>
    <row r="873" spans="11:11">
      <c r="K873" s="23"/>
    </row>
    <row r="874" spans="11:11">
      <c r="K874" s="23"/>
    </row>
    <row r="875" spans="11:11">
      <c r="K875" s="23"/>
    </row>
    <row r="876" spans="11:11">
      <c r="K876" s="23"/>
    </row>
    <row r="877" spans="11:11">
      <c r="K877" s="23"/>
    </row>
    <row r="878" spans="11:11">
      <c r="K878" s="23"/>
    </row>
    <row r="879" spans="11:11">
      <c r="K879" s="23"/>
    </row>
    <row r="880" spans="11:11">
      <c r="K880" s="23"/>
    </row>
    <row r="881" spans="11:11">
      <c r="K881" s="23"/>
    </row>
    <row r="882" spans="11:11">
      <c r="K882" s="23"/>
    </row>
    <row r="883" spans="11:11">
      <c r="K883" s="23"/>
    </row>
    <row r="884" spans="11:11">
      <c r="K884" s="23"/>
    </row>
    <row r="885" spans="11:11">
      <c r="K885" s="23"/>
    </row>
    <row r="886" spans="11:11">
      <c r="K886" s="23"/>
    </row>
    <row r="887" spans="11:11">
      <c r="K887" s="23"/>
    </row>
    <row r="888" spans="11:11">
      <c r="K888" s="23"/>
    </row>
    <row r="889" spans="11:11">
      <c r="K889" s="23"/>
    </row>
    <row r="890" spans="11:11">
      <c r="K890" s="23"/>
    </row>
    <row r="891" spans="11:11">
      <c r="K891" s="23"/>
    </row>
    <row r="892" spans="11:11">
      <c r="K892" s="23"/>
    </row>
    <row r="893" spans="11:11">
      <c r="K893" s="23"/>
    </row>
    <row r="894" spans="11:11">
      <c r="K894" s="23"/>
    </row>
    <row r="895" spans="11:11">
      <c r="K895" s="23"/>
    </row>
    <row r="896" spans="11:11">
      <c r="K896" s="23"/>
    </row>
    <row r="897" spans="11:11">
      <c r="K897" s="23"/>
    </row>
    <row r="898" spans="11:11">
      <c r="K898" s="23"/>
    </row>
    <row r="899" spans="11:11">
      <c r="K899" s="23"/>
    </row>
    <row r="900" spans="11:11">
      <c r="K900" s="23"/>
    </row>
    <row r="901" spans="11:11">
      <c r="K901" s="23"/>
    </row>
    <row r="902" spans="11:11">
      <c r="K902" s="23"/>
    </row>
    <row r="903" spans="11:11">
      <c r="K903" s="23"/>
    </row>
    <row r="904" spans="11:11">
      <c r="K904" s="23"/>
    </row>
    <row r="905" spans="11:11">
      <c r="K905" s="23"/>
    </row>
    <row r="906" spans="11:11">
      <c r="K906" s="23"/>
    </row>
    <row r="907" spans="11:11">
      <c r="K907" s="23"/>
    </row>
    <row r="908" spans="11:11">
      <c r="K908" s="23"/>
    </row>
    <row r="909" spans="11:11">
      <c r="K909" s="23"/>
    </row>
    <row r="910" spans="11:11">
      <c r="K910" s="23"/>
    </row>
    <row r="911" spans="11:11">
      <c r="K911" s="23"/>
    </row>
    <row r="912" spans="11:11">
      <c r="K912" s="23"/>
    </row>
    <row r="913" spans="11:11">
      <c r="K913" s="23"/>
    </row>
    <row r="914" spans="11:11">
      <c r="K914" s="23"/>
    </row>
    <row r="915" spans="11:11">
      <c r="K915" s="23"/>
    </row>
    <row r="916" spans="11:11">
      <c r="K916" s="23"/>
    </row>
    <row r="917" spans="11:11">
      <c r="K917" s="23"/>
    </row>
    <row r="918" spans="11:11">
      <c r="K918" s="23"/>
    </row>
    <row r="919" spans="11:11">
      <c r="K919" s="23"/>
    </row>
    <row r="920" spans="11:11">
      <c r="K920" s="23"/>
    </row>
    <row r="921" spans="11:11">
      <c r="K921" s="23"/>
    </row>
    <row r="922" spans="11:11">
      <c r="K922" s="23"/>
    </row>
    <row r="923" spans="11:11">
      <c r="K923" s="23"/>
    </row>
    <row r="924" spans="11:11">
      <c r="K924" s="23"/>
    </row>
    <row r="925" spans="11:11">
      <c r="K925" s="23"/>
    </row>
    <row r="926" spans="11:11">
      <c r="K926" s="23"/>
    </row>
    <row r="927" spans="11:11">
      <c r="K927" s="23"/>
    </row>
    <row r="928" spans="11:11">
      <c r="K928" s="23"/>
    </row>
    <row r="929" spans="11:11">
      <c r="K929" s="23"/>
    </row>
    <row r="930" spans="11:11">
      <c r="K930" s="23"/>
    </row>
    <row r="931" spans="11:11">
      <c r="K931" s="23"/>
    </row>
    <row r="932" spans="11:11">
      <c r="K932" s="23"/>
    </row>
    <row r="933" spans="11:11">
      <c r="K933" s="23"/>
    </row>
    <row r="934" spans="11:11">
      <c r="K934" s="23"/>
    </row>
    <row r="935" spans="11:11">
      <c r="K935" s="23"/>
    </row>
    <row r="936" spans="11:11">
      <c r="K936" s="23"/>
    </row>
    <row r="937" spans="11:11">
      <c r="K937" s="23"/>
    </row>
    <row r="938" spans="11:11">
      <c r="K938" s="23"/>
    </row>
    <row r="939" spans="11:11">
      <c r="K939" s="23"/>
    </row>
    <row r="940" spans="11:11">
      <c r="K940" s="23"/>
    </row>
    <row r="941" spans="11:11">
      <c r="K941" s="23"/>
    </row>
    <row r="942" spans="11:11">
      <c r="K942" s="23"/>
    </row>
    <row r="943" spans="11:11">
      <c r="K943" s="23"/>
    </row>
    <row r="944" spans="11:11">
      <c r="K944" s="23"/>
    </row>
    <row r="945" spans="11:11">
      <c r="K945" s="23"/>
    </row>
    <row r="946" spans="11:11">
      <c r="K946" s="23"/>
    </row>
    <row r="947" spans="11:11">
      <c r="K947" s="23"/>
    </row>
    <row r="948" spans="11:11">
      <c r="K948" s="23"/>
    </row>
    <row r="949" spans="11:11">
      <c r="K949" s="23"/>
    </row>
    <row r="950" spans="11:11">
      <c r="K950" s="23"/>
    </row>
    <row r="951" spans="11:11">
      <c r="K951" s="23"/>
    </row>
    <row r="952" spans="11:11">
      <c r="K952" s="23"/>
    </row>
    <row r="953" spans="11:11">
      <c r="K953" s="23"/>
    </row>
    <row r="954" spans="11:11">
      <c r="K954" s="23"/>
    </row>
    <row r="955" spans="11:11">
      <c r="K955" s="23"/>
    </row>
    <row r="956" spans="11:11">
      <c r="K956" s="23"/>
    </row>
    <row r="957" spans="11:11">
      <c r="K957" s="23"/>
    </row>
    <row r="958" spans="11:11">
      <c r="K958" s="23"/>
    </row>
    <row r="959" spans="11:11">
      <c r="K959" s="23"/>
    </row>
    <row r="960" spans="11:11">
      <c r="K960" s="23"/>
    </row>
    <row r="961" spans="11:11">
      <c r="K961" s="23"/>
    </row>
    <row r="962" spans="11:11">
      <c r="K962" s="23"/>
    </row>
    <row r="963" spans="11:11">
      <c r="K963" s="23"/>
    </row>
    <row r="964" spans="11:11">
      <c r="K964" s="23"/>
    </row>
    <row r="965" spans="11:11">
      <c r="K965" s="23"/>
    </row>
    <row r="966" spans="11:11">
      <c r="K966" s="23"/>
    </row>
    <row r="967" spans="11:11">
      <c r="K967" s="23"/>
    </row>
    <row r="968" spans="11:11">
      <c r="K968" s="23"/>
    </row>
    <row r="969" spans="11:11">
      <c r="K969" s="23"/>
    </row>
    <row r="970" spans="11:11">
      <c r="K970" s="23"/>
    </row>
    <row r="971" spans="11:11">
      <c r="K971" s="23"/>
    </row>
    <row r="972" spans="11:11">
      <c r="K972" s="23"/>
    </row>
    <row r="973" spans="11:11">
      <c r="K973" s="23"/>
    </row>
    <row r="974" spans="11:11">
      <c r="K974" s="23"/>
    </row>
    <row r="975" spans="11:11">
      <c r="K975" s="23"/>
    </row>
    <row r="976" spans="11:11">
      <c r="K976" s="23"/>
    </row>
    <row r="977" spans="11:11">
      <c r="K977" s="23"/>
    </row>
    <row r="978" spans="11:11">
      <c r="K978" s="23"/>
    </row>
    <row r="979" spans="11:11">
      <c r="K979" s="23"/>
    </row>
    <row r="980" spans="11:11">
      <c r="K980" s="23"/>
    </row>
    <row r="981" spans="11:11">
      <c r="K981" s="23"/>
    </row>
    <row r="982" spans="11:11">
      <c r="K982" s="23"/>
    </row>
    <row r="983" spans="11:11">
      <c r="K983" s="23"/>
    </row>
    <row r="984" spans="11:11">
      <c r="K984" s="23"/>
    </row>
    <row r="985" spans="11:11">
      <c r="K985" s="23"/>
    </row>
    <row r="986" spans="11:11">
      <c r="K986" s="23"/>
    </row>
    <row r="987" spans="11:11">
      <c r="K987" s="23"/>
    </row>
    <row r="988" spans="11:11">
      <c r="K988" s="23"/>
    </row>
    <row r="989" spans="11:11">
      <c r="K989" s="23"/>
    </row>
    <row r="990" spans="11:11">
      <c r="K990" s="23"/>
    </row>
    <row r="991" spans="11:11">
      <c r="K991" s="23"/>
    </row>
    <row r="992" spans="11:11">
      <c r="K992" s="23"/>
    </row>
    <row r="993" spans="11:11">
      <c r="K993" s="23"/>
    </row>
    <row r="994" spans="11:11">
      <c r="K994" s="23"/>
    </row>
    <row r="995" spans="11:11">
      <c r="K995" s="23"/>
    </row>
    <row r="996" spans="11:11">
      <c r="K996" s="23"/>
    </row>
    <row r="997" spans="11:11">
      <c r="K997" s="23"/>
    </row>
    <row r="998" spans="11:11">
      <c r="K998" s="23"/>
    </row>
    <row r="999" spans="11:11">
      <c r="K999" s="23"/>
    </row>
    <row r="1000" spans="11:11">
      <c r="K1000" s="23"/>
    </row>
    <row r="1001" spans="11:11">
      <c r="K1001" s="23"/>
    </row>
    <row r="1002" spans="11:11">
      <c r="K1002" s="23"/>
    </row>
    <row r="1003" spans="11:11">
      <c r="K1003" s="23"/>
    </row>
    <row r="1004" spans="11:11">
      <c r="K1004" s="23"/>
    </row>
    <row r="1005" spans="11:11">
      <c r="K1005" s="23"/>
    </row>
    <row r="1006" spans="11:11">
      <c r="K1006" s="23"/>
    </row>
  </sheetData>
  <mergeCells count="6">
    <mergeCell ref="A66:I66"/>
    <mergeCell ref="O7:AA7"/>
    <mergeCell ref="E7:K7"/>
    <mergeCell ref="AL7:AN7"/>
    <mergeCell ref="AV7:AX7"/>
    <mergeCell ref="AF7:AH7"/>
  </mergeCells>
  <phoneticPr fontId="3" type="noConversion"/>
  <pageMargins left="0.9" right="0.75" top="0.5" bottom="0.5" header="0.25" footer="0.25"/>
  <pageSetup scale="80" firstPageNumber="38" pageOrder="overThenDown" orientation="portrait" useFirstPageNumber="1" r:id="rId1"/>
  <headerFooter scaleWithDoc="0" alignWithMargins="0"/>
  <rowBreaks count="1" manualBreakCount="1">
    <brk id="66" max="76" man="1"/>
  </rowBreaks>
  <colBreaks count="6" manualBreakCount="6">
    <brk id="12" max="131" man="1"/>
    <brk id="27" max="1048575" man="1"/>
    <brk id="40" max="131" man="1"/>
    <brk id="60" max="1048575" man="1"/>
    <brk id="70" max="131" man="1"/>
    <brk id="7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7"/>
  <sheetViews>
    <sheetView view="pageBreakPreview" zoomScaleNormal="100" zoomScaleSheetLayoutView="100" workbookViewId="0">
      <pane xSplit="4" ySplit="11" topLeftCell="E12" activePane="bottomRight" state="frozen"/>
      <selection activeCell="M146" sqref="M146"/>
      <selection pane="topRight" activeCell="M146" sqref="M146"/>
      <selection pane="bottomLeft" activeCell="M146" sqref="M146"/>
      <selection pane="bottomRight" activeCell="A3" sqref="A3"/>
    </sheetView>
  </sheetViews>
  <sheetFormatPr defaultRowHeight="12"/>
  <cols>
    <col min="1" max="1" width="40.7109375" style="24" customWidth="1"/>
    <col min="2" max="2" width="1.7109375" style="24" customWidth="1"/>
    <col min="3" max="3" width="10.5703125" style="24" customWidth="1"/>
    <col min="4" max="4" width="1.7109375" style="24" customWidth="1"/>
    <col min="5" max="5" width="11.7109375" style="24" customWidth="1"/>
    <col min="6" max="6" width="1.7109375" style="24" customWidth="1"/>
    <col min="7" max="7" width="10.85546875" style="24" customWidth="1"/>
    <col min="8" max="8" width="1.7109375" style="24" customWidth="1"/>
    <col min="9" max="9" width="11.7109375" style="24" customWidth="1"/>
    <col min="10" max="10" width="1.7109375" style="24" customWidth="1"/>
    <col min="11" max="11" width="11.7109375" style="24" customWidth="1"/>
    <col min="12" max="12" width="1.28515625" style="24" customWidth="1"/>
    <col min="13" max="13" width="10.7109375" style="24" customWidth="1"/>
    <col min="14" max="14" width="1.28515625" style="24" customWidth="1"/>
    <col min="15" max="15" width="10.140625" style="24" customWidth="1"/>
    <col min="16" max="16" width="1.28515625" style="24" customWidth="1"/>
    <col min="17" max="17" width="10.28515625" style="24" customWidth="1"/>
    <col min="18" max="18" width="1.28515625" style="24" customWidth="1"/>
    <col min="19" max="19" width="10.85546875" style="24" bestFit="1" customWidth="1"/>
    <col min="20" max="20" width="1.28515625" style="24" customWidth="1"/>
    <col min="21" max="21" width="11.7109375" style="24" customWidth="1"/>
    <col min="22" max="22" width="1.28515625" style="24" customWidth="1"/>
    <col min="23" max="23" width="11.7109375" style="24" customWidth="1"/>
    <col min="24" max="24" width="1.28515625" style="24" customWidth="1"/>
    <col min="25" max="25" width="11.7109375" style="24" customWidth="1"/>
    <col min="26" max="26" width="1.28515625" style="24" customWidth="1"/>
    <col min="27" max="27" width="11.7109375" style="24" customWidth="1"/>
    <col min="28" max="28" width="1.28515625" style="24" customWidth="1"/>
    <col min="29" max="29" width="11.7109375" style="24" customWidth="1"/>
    <col min="30" max="30" width="1.7109375" style="24" hidden="1" customWidth="1"/>
    <col min="31" max="31" width="11.7109375" style="24" hidden="1" customWidth="1"/>
    <col min="32" max="16384" width="9.140625" style="24"/>
  </cols>
  <sheetData>
    <row r="1" spans="1:31" s="3" customFormat="1">
      <c r="A1" s="4" t="s">
        <v>126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1" s="3" customFormat="1">
      <c r="A2" s="4" t="s">
        <v>350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1" s="3" customForma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1" s="3" customFormat="1">
      <c r="A4" s="6" t="s">
        <v>260</v>
      </c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31" s="3" customFormat="1">
      <c r="A5" s="58"/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31" s="3" customFormat="1">
      <c r="A6" s="26" t="s">
        <v>317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31" s="3" customFormat="1">
      <c r="A7" s="58"/>
      <c r="B7" s="6"/>
      <c r="C7" s="6"/>
      <c r="D7" s="1"/>
      <c r="E7" s="70" t="s">
        <v>2</v>
      </c>
      <c r="F7" s="70"/>
      <c r="G7" s="70"/>
      <c r="H7" s="70"/>
      <c r="I7" s="70"/>
      <c r="J7" s="1"/>
      <c r="K7" s="1"/>
      <c r="L7" s="1"/>
      <c r="M7" s="70" t="s">
        <v>15</v>
      </c>
      <c r="N7" s="70"/>
      <c r="O7" s="70"/>
      <c r="P7" s="1"/>
      <c r="Q7" s="1"/>
      <c r="R7" s="1"/>
      <c r="S7" s="70" t="s">
        <v>342</v>
      </c>
      <c r="T7" s="70"/>
      <c r="U7" s="70"/>
      <c r="V7" s="70"/>
      <c r="W7" s="70"/>
      <c r="X7" s="70"/>
      <c r="Y7" s="70"/>
      <c r="Z7" s="70"/>
      <c r="AA7" s="70"/>
    </row>
    <row r="8" spans="1:31" s="10" customFormat="1">
      <c r="A8" s="18"/>
      <c r="B8" s="39"/>
      <c r="C8" s="39"/>
      <c r="D8" s="2"/>
      <c r="E8" s="2"/>
      <c r="F8" s="2"/>
      <c r="G8" s="2"/>
      <c r="H8" s="2"/>
      <c r="I8" s="2"/>
      <c r="J8" s="2"/>
      <c r="K8" s="2"/>
      <c r="L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8</v>
      </c>
      <c r="AE8" s="10" t="s">
        <v>4</v>
      </c>
    </row>
    <row r="9" spans="1:31" s="10" customFormat="1">
      <c r="A9" s="2"/>
      <c r="B9" s="2"/>
      <c r="C9" s="2"/>
      <c r="D9" s="2"/>
      <c r="E9" s="2" t="s">
        <v>92</v>
      </c>
      <c r="F9" s="2"/>
      <c r="G9" s="2" t="s">
        <v>18</v>
      </c>
      <c r="H9" s="2"/>
      <c r="I9" s="2" t="s">
        <v>84</v>
      </c>
      <c r="J9" s="2"/>
      <c r="K9" s="2" t="s">
        <v>8</v>
      </c>
      <c r="L9" s="2"/>
      <c r="M9" s="2"/>
      <c r="N9" s="2"/>
      <c r="O9" s="2" t="s">
        <v>7</v>
      </c>
      <c r="P9" s="2"/>
      <c r="Q9" s="2" t="s">
        <v>8</v>
      </c>
      <c r="R9" s="2"/>
      <c r="S9" s="2" t="s">
        <v>284</v>
      </c>
      <c r="T9" s="2"/>
      <c r="U9" s="2" t="s">
        <v>18</v>
      </c>
      <c r="V9" s="2"/>
      <c r="W9" s="2" t="s">
        <v>285</v>
      </c>
      <c r="X9" s="2"/>
      <c r="Y9" s="2" t="s">
        <v>286</v>
      </c>
      <c r="Z9" s="2"/>
      <c r="AA9" s="2" t="s">
        <v>287</v>
      </c>
      <c r="AB9" s="2"/>
      <c r="AC9" s="2" t="s">
        <v>93</v>
      </c>
      <c r="AE9" s="10" t="s">
        <v>94</v>
      </c>
    </row>
    <row r="10" spans="1:31" s="2" customFormat="1">
      <c r="A10" s="57" t="s">
        <v>282</v>
      </c>
      <c r="B10" s="10"/>
      <c r="C10" s="57" t="s">
        <v>12</v>
      </c>
      <c r="E10" s="57" t="s">
        <v>14</v>
      </c>
      <c r="G10" s="57" t="s">
        <v>2</v>
      </c>
      <c r="I10" s="57" t="s">
        <v>2</v>
      </c>
      <c r="K10" s="57" t="s">
        <v>2</v>
      </c>
      <c r="M10" s="57" t="s">
        <v>15</v>
      </c>
      <c r="O10" s="57" t="s">
        <v>95</v>
      </c>
      <c r="Q10" s="57" t="s">
        <v>15</v>
      </c>
      <c r="S10" s="57" t="s">
        <v>96</v>
      </c>
      <c r="U10" s="57" t="s">
        <v>96</v>
      </c>
      <c r="W10" s="57" t="s">
        <v>96</v>
      </c>
      <c r="Y10" s="57" t="s">
        <v>96</v>
      </c>
      <c r="AA10" s="57" t="s">
        <v>96</v>
      </c>
      <c r="AC10" s="57" t="s">
        <v>118</v>
      </c>
      <c r="AE10" s="57" t="s">
        <v>20</v>
      </c>
    </row>
    <row r="11" spans="1:31" s="2" customFormat="1">
      <c r="B11" s="10"/>
    </row>
    <row r="12" spans="1:31" ht="12.75" customHeight="1">
      <c r="A12" s="29" t="s">
        <v>255</v>
      </c>
    </row>
    <row r="13" spans="1:31" ht="12.75" customHeight="1">
      <c r="A13" s="29"/>
    </row>
    <row r="14" spans="1:31">
      <c r="A14" s="3" t="s">
        <v>288</v>
      </c>
      <c r="B14" s="3"/>
      <c r="C14" s="3" t="s">
        <v>263</v>
      </c>
      <c r="E14" s="17">
        <v>7021966</v>
      </c>
      <c r="F14" s="17"/>
      <c r="G14" s="17">
        <v>0</v>
      </c>
      <c r="H14" s="17"/>
      <c r="I14" s="64">
        <f>+K14-G14-E14</f>
        <v>4144667</v>
      </c>
      <c r="J14" s="17"/>
      <c r="K14" s="17">
        <v>11166633</v>
      </c>
      <c r="L14" s="17"/>
      <c r="M14" s="64">
        <f>+Q14-O14</f>
        <v>1063260</v>
      </c>
      <c r="N14" s="17"/>
      <c r="O14" s="17">
        <v>3679018</v>
      </c>
      <c r="P14" s="17"/>
      <c r="Q14" s="17">
        <v>4742278</v>
      </c>
      <c r="R14" s="17"/>
      <c r="S14" s="17">
        <v>184056</v>
      </c>
      <c r="T14" s="17"/>
      <c r="U14" s="17">
        <v>964989</v>
      </c>
      <c r="V14" s="17"/>
      <c r="W14" s="17">
        <v>20482</v>
      </c>
      <c r="X14" s="17"/>
      <c r="Y14" s="17">
        <v>1044811</v>
      </c>
      <c r="Z14" s="17"/>
      <c r="AA14" s="17">
        <v>4210017</v>
      </c>
      <c r="AB14" s="17"/>
      <c r="AC14" s="65">
        <f>+Y14+W14+S14+U14+AA14</f>
        <v>6424355</v>
      </c>
      <c r="AD14" s="17"/>
      <c r="AE14" s="3">
        <f>+E14+G14+I14-M14-O14-Y14-W14-S14-U14-AA14</f>
        <v>0</v>
      </c>
    </row>
    <row r="15" spans="1:31" s="17" customFormat="1">
      <c r="A15" s="3" t="s">
        <v>241</v>
      </c>
      <c r="C15" s="17" t="s">
        <v>145</v>
      </c>
      <c r="E15" s="3">
        <v>5161863</v>
      </c>
      <c r="F15" s="3"/>
      <c r="G15" s="3">
        <v>0</v>
      </c>
      <c r="H15" s="3"/>
      <c r="I15" s="7">
        <f>+K15-G15-E15</f>
        <v>3140730</v>
      </c>
      <c r="J15" s="3"/>
      <c r="K15" s="3">
        <v>8302593</v>
      </c>
      <c r="L15" s="3"/>
      <c r="M15" s="7">
        <f t="shared" ref="M15:M80" si="0">+Q15-O15</f>
        <v>608124</v>
      </c>
      <c r="N15" s="3"/>
      <c r="O15" s="3">
        <v>2557841</v>
      </c>
      <c r="P15" s="3"/>
      <c r="Q15" s="3">
        <v>3165965</v>
      </c>
      <c r="R15" s="3"/>
      <c r="S15" s="3">
        <v>0</v>
      </c>
      <c r="T15" s="3"/>
      <c r="U15" s="3">
        <v>1096555</v>
      </c>
      <c r="V15" s="3"/>
      <c r="W15" s="3">
        <v>125742</v>
      </c>
      <c r="X15" s="3"/>
      <c r="Y15" s="3">
        <v>657379</v>
      </c>
      <c r="Z15" s="3"/>
      <c r="AA15" s="3">
        <v>3256952</v>
      </c>
      <c r="AB15" s="3"/>
      <c r="AC15" s="20">
        <f>+Y15+W15+S15+U15+AA15</f>
        <v>5136628</v>
      </c>
      <c r="AD15" s="3"/>
      <c r="AE15" s="3">
        <f t="shared" ref="AE15:AE64" si="1">+E15+G15+I15-M15-O15-Y15-W15-S15-U15-AA15</f>
        <v>0</v>
      </c>
    </row>
    <row r="16" spans="1:31" s="13" customFormat="1">
      <c r="A16" s="3" t="s">
        <v>356</v>
      </c>
      <c r="C16" s="13" t="s">
        <v>146</v>
      </c>
      <c r="E16" s="3">
        <v>9703098</v>
      </c>
      <c r="F16" s="3"/>
      <c r="G16" s="3">
        <v>6524</v>
      </c>
      <c r="H16" s="3"/>
      <c r="I16" s="7">
        <f>+K16-G16-E16</f>
        <v>5750726</v>
      </c>
      <c r="J16" s="3"/>
      <c r="K16" s="3">
        <v>15460348</v>
      </c>
      <c r="L16" s="3"/>
      <c r="M16" s="7">
        <f t="shared" si="0"/>
        <v>1582139</v>
      </c>
      <c r="N16" s="3"/>
      <c r="O16" s="3">
        <v>3528895</v>
      </c>
      <c r="P16" s="3"/>
      <c r="Q16" s="3">
        <v>5111034</v>
      </c>
      <c r="R16" s="3"/>
      <c r="S16" s="3">
        <v>42790</v>
      </c>
      <c r="T16" s="3"/>
      <c r="U16" s="3">
        <v>4291124</v>
      </c>
      <c r="V16" s="3"/>
      <c r="W16" s="3">
        <v>3234</v>
      </c>
      <c r="X16" s="3"/>
      <c r="Y16" s="3">
        <v>2538848</v>
      </c>
      <c r="Z16" s="3"/>
      <c r="AA16" s="3">
        <v>3473318</v>
      </c>
      <c r="AB16" s="3"/>
      <c r="AC16" s="20">
        <f t="shared" ref="AC16:AC64" si="2">+Y16+W16+S16+U16+AA16</f>
        <v>10349314</v>
      </c>
      <c r="AD16" s="3"/>
      <c r="AE16" s="3">
        <f t="shared" si="1"/>
        <v>0</v>
      </c>
    </row>
    <row r="17" spans="1:31" s="13" customFormat="1">
      <c r="A17" s="3" t="s">
        <v>294</v>
      </c>
      <c r="C17" s="13" t="s">
        <v>148</v>
      </c>
      <c r="E17" s="3">
        <v>6561511</v>
      </c>
      <c r="F17" s="3"/>
      <c r="G17" s="3">
        <v>0</v>
      </c>
      <c r="H17" s="3"/>
      <c r="I17" s="7">
        <f t="shared" ref="I17:I65" si="3">+K17-G17-E17</f>
        <v>7577370</v>
      </c>
      <c r="J17" s="3"/>
      <c r="K17" s="3">
        <v>14138881</v>
      </c>
      <c r="L17" s="3"/>
      <c r="M17" s="7">
        <f t="shared" si="0"/>
        <v>1886526</v>
      </c>
      <c r="N17" s="3"/>
      <c r="O17" s="3">
        <v>5477073</v>
      </c>
      <c r="P17" s="3"/>
      <c r="Q17" s="3">
        <v>7363599</v>
      </c>
      <c r="R17" s="3"/>
      <c r="S17" s="3">
        <v>1316396</v>
      </c>
      <c r="T17" s="3"/>
      <c r="U17" s="3">
        <v>15950</v>
      </c>
      <c r="V17" s="3"/>
      <c r="W17" s="3">
        <v>0</v>
      </c>
      <c r="X17" s="3"/>
      <c r="Y17" s="3">
        <v>1585763</v>
      </c>
      <c r="Z17" s="3"/>
      <c r="AA17" s="3">
        <v>3857173</v>
      </c>
      <c r="AB17" s="3"/>
      <c r="AC17" s="20">
        <f t="shared" si="2"/>
        <v>6775282</v>
      </c>
      <c r="AD17" s="3"/>
      <c r="AE17" s="3">
        <f t="shared" si="1"/>
        <v>0</v>
      </c>
    </row>
    <row r="18" spans="1:31" s="13" customFormat="1">
      <c r="A18" s="3" t="s">
        <v>295</v>
      </c>
      <c r="C18" s="13" t="s">
        <v>151</v>
      </c>
      <c r="E18" s="3">
        <v>1327180</v>
      </c>
      <c r="F18" s="3"/>
      <c r="G18" s="3">
        <v>33817</v>
      </c>
      <c r="H18" s="3"/>
      <c r="I18" s="7">
        <f t="shared" si="3"/>
        <v>1862186</v>
      </c>
      <c r="J18" s="3"/>
      <c r="K18" s="3">
        <v>3223183</v>
      </c>
      <c r="L18" s="3"/>
      <c r="M18" s="7">
        <f t="shared" si="0"/>
        <v>564366</v>
      </c>
      <c r="N18" s="3"/>
      <c r="O18" s="3">
        <v>1663793</v>
      </c>
      <c r="P18" s="3"/>
      <c r="Q18" s="3">
        <v>2228159</v>
      </c>
      <c r="R18" s="3"/>
      <c r="S18" s="3">
        <f>33909+12564</f>
        <v>46473</v>
      </c>
      <c r="T18" s="3"/>
      <c r="U18" s="3">
        <f>22817+65459+17962+11000</f>
        <v>117238</v>
      </c>
      <c r="V18" s="3"/>
      <c r="W18" s="3">
        <v>0</v>
      </c>
      <c r="X18" s="3"/>
      <c r="Y18" s="3">
        <v>233103</v>
      </c>
      <c r="Z18" s="3"/>
      <c r="AA18" s="3">
        <v>598210</v>
      </c>
      <c r="AB18" s="3"/>
      <c r="AC18" s="20">
        <f t="shared" si="2"/>
        <v>995024</v>
      </c>
      <c r="AD18" s="3"/>
      <c r="AE18" s="3">
        <f t="shared" si="1"/>
        <v>0</v>
      </c>
    </row>
    <row r="19" spans="1:31" s="13" customFormat="1">
      <c r="A19" s="3" t="s">
        <v>222</v>
      </c>
      <c r="C19" s="13" t="s">
        <v>200</v>
      </c>
      <c r="E19" s="3">
        <v>19173650</v>
      </c>
      <c r="F19" s="3"/>
      <c r="G19" s="3">
        <v>0</v>
      </c>
      <c r="H19" s="3"/>
      <c r="I19" s="7">
        <f t="shared" si="3"/>
        <v>5390107</v>
      </c>
      <c r="J19" s="3"/>
      <c r="K19" s="3">
        <v>24563757</v>
      </c>
      <c r="L19" s="3"/>
      <c r="M19" s="7">
        <f t="shared" si="0"/>
        <v>1279068</v>
      </c>
      <c r="N19" s="3"/>
      <c r="O19" s="3">
        <f>3915038+578691</f>
        <v>4493729</v>
      </c>
      <c r="P19" s="3"/>
      <c r="Q19" s="3">
        <v>5772797</v>
      </c>
      <c r="R19" s="3"/>
      <c r="S19" s="3">
        <f>113280+10011+2043</f>
        <v>125334</v>
      </c>
      <c r="T19" s="3"/>
      <c r="U19" s="3">
        <f>4457785+1392297</f>
        <v>5850082</v>
      </c>
      <c r="V19" s="3"/>
      <c r="W19" s="3">
        <v>0</v>
      </c>
      <c r="X19" s="3"/>
      <c r="Y19" s="3">
        <f>29572+36475+771374+89900+113577+1010956</f>
        <v>2051854</v>
      </c>
      <c r="Z19" s="3"/>
      <c r="AA19" s="3">
        <v>10763690</v>
      </c>
      <c r="AB19" s="3"/>
      <c r="AC19" s="20">
        <f t="shared" si="2"/>
        <v>18790960</v>
      </c>
      <c r="AD19" s="3"/>
      <c r="AE19" s="3">
        <f t="shared" si="1"/>
        <v>0</v>
      </c>
    </row>
    <row r="20" spans="1:31" s="13" customFormat="1">
      <c r="A20" s="3" t="s">
        <v>366</v>
      </c>
      <c r="C20" s="13" t="s">
        <v>149</v>
      </c>
      <c r="E20" s="3">
        <v>17457897</v>
      </c>
      <c r="F20" s="3"/>
      <c r="G20" s="3">
        <v>467953</v>
      </c>
      <c r="H20" s="3"/>
      <c r="I20" s="7">
        <f t="shared" si="3"/>
        <v>16251383</v>
      </c>
      <c r="J20" s="3"/>
      <c r="K20" s="3">
        <v>34177233</v>
      </c>
      <c r="L20" s="3"/>
      <c r="M20" s="7">
        <f t="shared" si="0"/>
        <v>8222670</v>
      </c>
      <c r="N20" s="3"/>
      <c r="O20" s="3">
        <v>15647625</v>
      </c>
      <c r="P20" s="3"/>
      <c r="Q20" s="3">
        <v>23870295</v>
      </c>
      <c r="R20" s="3"/>
      <c r="S20" s="3">
        <v>0</v>
      </c>
      <c r="T20" s="3"/>
      <c r="U20" s="3">
        <v>1048857</v>
      </c>
      <c r="V20" s="3"/>
      <c r="W20" s="3">
        <v>0</v>
      </c>
      <c r="X20" s="3"/>
      <c r="Y20" s="3">
        <v>5522239</v>
      </c>
      <c r="Z20" s="3"/>
      <c r="AA20" s="3">
        <v>3735842</v>
      </c>
      <c r="AB20" s="3"/>
      <c r="AC20" s="20">
        <f t="shared" si="2"/>
        <v>10306938</v>
      </c>
      <c r="AD20" s="3"/>
      <c r="AE20" s="3">
        <f t="shared" si="1"/>
        <v>0</v>
      </c>
    </row>
    <row r="21" spans="1:31" s="13" customFormat="1">
      <c r="A21" s="3" t="s">
        <v>278</v>
      </c>
      <c r="C21" s="13" t="s">
        <v>175</v>
      </c>
      <c r="E21" s="3">
        <f>7465767+6296</f>
        <v>7472063</v>
      </c>
      <c r="F21" s="3"/>
      <c r="G21" s="3">
        <v>0</v>
      </c>
      <c r="H21" s="3"/>
      <c r="I21" s="7">
        <f>+K21-G21-E21</f>
        <v>10339489</v>
      </c>
      <c r="J21" s="3"/>
      <c r="K21" s="3">
        <v>17811552</v>
      </c>
      <c r="L21" s="3"/>
      <c r="M21" s="7">
        <f>+Q21-O21</f>
        <v>1448442</v>
      </c>
      <c r="N21" s="3"/>
      <c r="O21" s="3">
        <v>8767150</v>
      </c>
      <c r="P21" s="3"/>
      <c r="Q21" s="3">
        <v>10215592</v>
      </c>
      <c r="R21" s="3"/>
      <c r="S21" s="3">
        <v>78868</v>
      </c>
      <c r="T21" s="3"/>
      <c r="U21" s="3">
        <v>2159818</v>
      </c>
      <c r="V21" s="3"/>
      <c r="W21" s="3">
        <v>63918</v>
      </c>
      <c r="X21" s="3"/>
      <c r="Y21" s="3">
        <v>335767</v>
      </c>
      <c r="Z21" s="3"/>
      <c r="AA21" s="3">
        <v>4957589</v>
      </c>
      <c r="AB21" s="3"/>
      <c r="AC21" s="20">
        <f>+Y21+W21+S21+U21+AA21</f>
        <v>7595960</v>
      </c>
      <c r="AD21" s="3"/>
      <c r="AE21" s="3">
        <f>+E21+G21+I21-M21-O21-Y21-W21-S21-U21-AA21</f>
        <v>0</v>
      </c>
    </row>
    <row r="22" spans="1:31" s="13" customFormat="1" hidden="1">
      <c r="A22" s="3" t="s">
        <v>276</v>
      </c>
      <c r="C22" s="13" t="s">
        <v>216</v>
      </c>
      <c r="E22" s="3">
        <v>0</v>
      </c>
      <c r="F22" s="3"/>
      <c r="G22" s="3">
        <v>0</v>
      </c>
      <c r="H22" s="3"/>
      <c r="I22" s="7">
        <f t="shared" si="3"/>
        <v>0</v>
      </c>
      <c r="J22" s="3"/>
      <c r="K22" s="3">
        <v>0</v>
      </c>
      <c r="L22" s="3"/>
      <c r="M22" s="7">
        <f t="shared" si="0"/>
        <v>0</v>
      </c>
      <c r="N22" s="3"/>
      <c r="O22" s="3">
        <v>0</v>
      </c>
      <c r="P22" s="3"/>
      <c r="Q22" s="3">
        <v>0</v>
      </c>
      <c r="R22" s="3"/>
      <c r="S22" s="3">
        <v>0</v>
      </c>
      <c r="T22" s="3"/>
      <c r="U22" s="3">
        <v>0</v>
      </c>
      <c r="V22" s="3"/>
      <c r="W22" s="3">
        <v>0</v>
      </c>
      <c r="X22" s="3"/>
      <c r="Y22" s="3">
        <v>0</v>
      </c>
      <c r="Z22" s="3"/>
      <c r="AA22" s="3">
        <v>0</v>
      </c>
      <c r="AB22" s="3"/>
      <c r="AC22" s="20">
        <f t="shared" si="2"/>
        <v>0</v>
      </c>
      <c r="AD22" s="3"/>
      <c r="AE22" s="3">
        <f t="shared" si="1"/>
        <v>0</v>
      </c>
    </row>
    <row r="23" spans="1:31" s="13" customFormat="1">
      <c r="A23" s="3" t="s">
        <v>365</v>
      </c>
      <c r="C23" s="13" t="s">
        <v>158</v>
      </c>
      <c r="E23" s="3">
        <v>6707648</v>
      </c>
      <c r="F23" s="3"/>
      <c r="G23" s="3">
        <v>0</v>
      </c>
      <c r="H23" s="3"/>
      <c r="I23" s="7">
        <f t="shared" si="3"/>
        <v>2090513</v>
      </c>
      <c r="J23" s="3"/>
      <c r="K23" s="3">
        <v>8798161</v>
      </c>
      <c r="L23" s="3"/>
      <c r="M23" s="7">
        <f t="shared" si="0"/>
        <v>524764</v>
      </c>
      <c r="N23" s="3"/>
      <c r="O23" s="3">
        <f>190506+1722194</f>
        <v>1912700</v>
      </c>
      <c r="P23" s="3"/>
      <c r="Q23" s="3">
        <v>2437464</v>
      </c>
      <c r="R23" s="3"/>
      <c r="S23" s="3">
        <v>3680</v>
      </c>
      <c r="T23" s="3"/>
      <c r="U23" s="3">
        <f>647833+41742+26</f>
        <v>689601</v>
      </c>
      <c r="V23" s="3"/>
      <c r="W23" s="3">
        <v>2395294</v>
      </c>
      <c r="X23" s="3"/>
      <c r="Y23" s="3">
        <f>54911+44558+29589+259651+40466</f>
        <v>429175</v>
      </c>
      <c r="Z23" s="3"/>
      <c r="AA23" s="3">
        <v>2842947</v>
      </c>
      <c r="AB23" s="3"/>
      <c r="AC23" s="20">
        <f t="shared" si="2"/>
        <v>6360697</v>
      </c>
      <c r="AD23" s="3"/>
      <c r="AE23" s="3">
        <f t="shared" si="1"/>
        <v>0</v>
      </c>
    </row>
    <row r="24" spans="1:31" s="13" customFormat="1">
      <c r="A24" s="3" t="s">
        <v>245</v>
      </c>
      <c r="C24" s="13" t="s">
        <v>209</v>
      </c>
      <c r="E24" s="3">
        <v>1172677</v>
      </c>
      <c r="F24" s="3"/>
      <c r="G24" s="3">
        <v>0</v>
      </c>
      <c r="H24" s="3"/>
      <c r="I24" s="7">
        <f t="shared" si="3"/>
        <v>1401330</v>
      </c>
      <c r="J24" s="3"/>
      <c r="K24" s="3">
        <v>2574007</v>
      </c>
      <c r="L24" s="3"/>
      <c r="M24" s="7">
        <f t="shared" si="0"/>
        <v>436503</v>
      </c>
      <c r="N24" s="3"/>
      <c r="O24" s="3">
        <v>1245364</v>
      </c>
      <c r="P24" s="3"/>
      <c r="Q24" s="3">
        <v>1681867</v>
      </c>
      <c r="R24" s="3"/>
      <c r="S24" s="3">
        <v>18068</v>
      </c>
      <c r="T24" s="3"/>
      <c r="U24" s="3">
        <v>84476</v>
      </c>
      <c r="V24" s="3"/>
      <c r="W24" s="3">
        <v>0</v>
      </c>
      <c r="X24" s="3"/>
      <c r="Y24" s="3">
        <v>470980</v>
      </c>
      <c r="Z24" s="3"/>
      <c r="AA24" s="3">
        <v>318616</v>
      </c>
      <c r="AB24" s="3"/>
      <c r="AC24" s="20">
        <f t="shared" si="2"/>
        <v>892140</v>
      </c>
      <c r="AD24" s="3"/>
      <c r="AE24" s="3">
        <f t="shared" si="1"/>
        <v>0</v>
      </c>
    </row>
    <row r="25" spans="1:31" s="13" customFormat="1">
      <c r="A25" s="3" t="s">
        <v>243</v>
      </c>
      <c r="C25" s="13" t="s">
        <v>159</v>
      </c>
      <c r="E25" s="3">
        <f>6966000+6445116</f>
        <v>13411116</v>
      </c>
      <c r="F25" s="3"/>
      <c r="G25" s="3">
        <v>0</v>
      </c>
      <c r="H25" s="3"/>
      <c r="I25" s="7">
        <f t="shared" si="3"/>
        <v>10794769</v>
      </c>
      <c r="J25" s="3"/>
      <c r="K25" s="3">
        <v>24205885</v>
      </c>
      <c r="L25" s="3"/>
      <c r="M25" s="7">
        <f t="shared" si="0"/>
        <v>1714102</v>
      </c>
      <c r="N25" s="3"/>
      <c r="O25" s="3">
        <f>908001+8411765</f>
        <v>9319766</v>
      </c>
      <c r="P25" s="3"/>
      <c r="Q25" s="3">
        <v>11033868</v>
      </c>
      <c r="R25" s="3"/>
      <c r="S25" s="3">
        <f>21417+15682</f>
        <v>37099</v>
      </c>
      <c r="T25" s="3"/>
      <c r="U25" s="3">
        <f>8910+4024</f>
        <v>12934</v>
      </c>
      <c r="V25" s="3"/>
      <c r="W25" s="3">
        <f>371267+33000</f>
        <v>404267</v>
      </c>
      <c r="X25" s="3"/>
      <c r="Y25" s="3">
        <f>88573+699216+181588+19945+1341362+121398</f>
        <v>2452082</v>
      </c>
      <c r="Z25" s="3"/>
      <c r="AA25" s="3">
        <v>10265635</v>
      </c>
      <c r="AB25" s="3"/>
      <c r="AC25" s="20">
        <f t="shared" si="2"/>
        <v>13172017</v>
      </c>
      <c r="AD25" s="3"/>
      <c r="AE25" s="3">
        <f t="shared" si="1"/>
        <v>0</v>
      </c>
    </row>
    <row r="26" spans="1:31" s="13" customFormat="1">
      <c r="A26" s="3" t="s">
        <v>242</v>
      </c>
      <c r="C26" s="13" t="s">
        <v>161</v>
      </c>
      <c r="E26" s="3">
        <v>26464744</v>
      </c>
      <c r="F26" s="3"/>
      <c r="G26" s="3">
        <v>0</v>
      </c>
      <c r="H26" s="3"/>
      <c r="I26" s="7">
        <f t="shared" si="3"/>
        <v>11559096</v>
      </c>
      <c r="J26" s="3"/>
      <c r="K26" s="3">
        <v>38023840</v>
      </c>
      <c r="L26" s="3"/>
      <c r="M26" s="7">
        <f t="shared" si="0"/>
        <v>1251900</v>
      </c>
      <c r="N26" s="3"/>
      <c r="O26" s="3">
        <f>459279+8973510</f>
        <v>9432789</v>
      </c>
      <c r="P26" s="3"/>
      <c r="Q26" s="3">
        <v>10684689</v>
      </c>
      <c r="R26" s="3"/>
      <c r="S26" s="3">
        <f>54898+25947</f>
        <v>80845</v>
      </c>
      <c r="T26" s="3"/>
      <c r="U26" s="3">
        <f>5157762+208722+6319+246+6569+4098</f>
        <v>5383716</v>
      </c>
      <c r="V26" s="3"/>
      <c r="W26" s="3">
        <f>16667+1200000+717+123</f>
        <v>1217507</v>
      </c>
      <c r="X26" s="3"/>
      <c r="Y26" s="3">
        <f>43226+127104+53629+11113+109673</f>
        <v>344745</v>
      </c>
      <c r="Z26" s="3"/>
      <c r="AA26" s="3">
        <v>20312338</v>
      </c>
      <c r="AB26" s="3"/>
      <c r="AC26" s="20">
        <f t="shared" si="2"/>
        <v>27339151</v>
      </c>
      <c r="AD26" s="3"/>
      <c r="AE26" s="3">
        <f t="shared" si="1"/>
        <v>0</v>
      </c>
    </row>
    <row r="27" spans="1:31" s="13" customFormat="1">
      <c r="A27" s="3" t="s">
        <v>367</v>
      </c>
      <c r="C27" s="13" t="s">
        <v>164</v>
      </c>
      <c r="E27" s="3">
        <v>18273288</v>
      </c>
      <c r="F27" s="3"/>
      <c r="G27" s="3">
        <v>18348</v>
      </c>
      <c r="H27" s="3"/>
      <c r="I27" s="7">
        <f t="shared" si="3"/>
        <v>14119690</v>
      </c>
      <c r="J27" s="3"/>
      <c r="K27" s="3">
        <v>32411326</v>
      </c>
      <c r="L27" s="3"/>
      <c r="M27" s="7">
        <f t="shared" si="0"/>
        <v>2351728</v>
      </c>
      <c r="N27" s="3"/>
      <c r="O27" s="3">
        <v>10487893</v>
      </c>
      <c r="P27" s="3"/>
      <c r="Q27" s="3">
        <v>12839621</v>
      </c>
      <c r="R27" s="3"/>
      <c r="S27" s="3">
        <v>0</v>
      </c>
      <c r="T27" s="3"/>
      <c r="U27" s="3">
        <v>2665044</v>
      </c>
      <c r="V27" s="3"/>
      <c r="W27" s="3">
        <v>0</v>
      </c>
      <c r="X27" s="3"/>
      <c r="Y27" s="3">
        <v>773228</v>
      </c>
      <c r="Z27" s="3"/>
      <c r="AA27" s="3">
        <v>16133433</v>
      </c>
      <c r="AB27" s="3"/>
      <c r="AC27" s="20">
        <f t="shared" si="2"/>
        <v>19571705</v>
      </c>
      <c r="AD27" s="3"/>
      <c r="AE27" s="3">
        <f t="shared" si="1"/>
        <v>0</v>
      </c>
    </row>
    <row r="28" spans="1:31" s="13" customFormat="1">
      <c r="A28" s="3" t="s">
        <v>244</v>
      </c>
      <c r="C28" s="13" t="s">
        <v>162</v>
      </c>
      <c r="E28" s="3">
        <v>5560768</v>
      </c>
      <c r="F28" s="3"/>
      <c r="G28" s="3">
        <v>0</v>
      </c>
      <c r="H28" s="3"/>
      <c r="I28" s="7">
        <f t="shared" si="3"/>
        <v>8333932</v>
      </c>
      <c r="J28" s="3"/>
      <c r="K28" s="3">
        <v>13894700</v>
      </c>
      <c r="L28" s="3"/>
      <c r="M28" s="7">
        <f t="shared" si="0"/>
        <v>1374133</v>
      </c>
      <c r="N28" s="3"/>
      <c r="O28" s="3">
        <f>548397+6334029</f>
        <v>6882426</v>
      </c>
      <c r="P28" s="3"/>
      <c r="Q28" s="3">
        <v>8256559</v>
      </c>
      <c r="R28" s="3"/>
      <c r="S28" s="3">
        <f>51935+27805+3545</f>
        <v>83285</v>
      </c>
      <c r="T28" s="3"/>
      <c r="U28" s="3">
        <f>32620+5585+37890</f>
        <v>76095</v>
      </c>
      <c r="V28" s="3"/>
      <c r="W28" s="3">
        <v>512713</v>
      </c>
      <c r="X28" s="3"/>
      <c r="Y28" s="3">
        <f>44356+42253+28373+2617+77761</f>
        <v>195360</v>
      </c>
      <c r="Z28" s="3"/>
      <c r="AA28" s="3">
        <v>4770688</v>
      </c>
      <c r="AB28" s="3"/>
      <c r="AC28" s="20">
        <f t="shared" si="2"/>
        <v>5638141</v>
      </c>
      <c r="AD28" s="3"/>
      <c r="AE28" s="3">
        <f t="shared" si="1"/>
        <v>0</v>
      </c>
    </row>
    <row r="29" spans="1:31" s="13" customFormat="1">
      <c r="A29" s="3" t="s">
        <v>246</v>
      </c>
      <c r="C29" s="13" t="s">
        <v>211</v>
      </c>
      <c r="E29" s="3">
        <f>8549558+2240974</f>
        <v>10790532</v>
      </c>
      <c r="F29" s="3"/>
      <c r="G29" s="3">
        <v>725000</v>
      </c>
      <c r="H29" s="3"/>
      <c r="I29" s="7">
        <f t="shared" si="3"/>
        <v>6403218</v>
      </c>
      <c r="J29" s="3"/>
      <c r="K29" s="3">
        <v>17918750</v>
      </c>
      <c r="L29" s="3"/>
      <c r="M29" s="7">
        <f t="shared" si="0"/>
        <v>2162520</v>
      </c>
      <c r="N29" s="3"/>
      <c r="O29" s="3">
        <v>5567566</v>
      </c>
      <c r="P29" s="3"/>
      <c r="Q29" s="3">
        <v>7730086</v>
      </c>
      <c r="R29" s="3"/>
      <c r="S29" s="3">
        <v>228482</v>
      </c>
      <c r="T29" s="3"/>
      <c r="U29" s="3">
        <v>4108024</v>
      </c>
      <c r="V29" s="3"/>
      <c r="W29" s="3">
        <v>0</v>
      </c>
      <c r="X29" s="3"/>
      <c r="Y29" s="3">
        <v>82207</v>
      </c>
      <c r="Z29" s="3"/>
      <c r="AA29" s="3">
        <v>5769951</v>
      </c>
      <c r="AB29" s="3"/>
      <c r="AC29" s="20">
        <f t="shared" si="2"/>
        <v>10188664</v>
      </c>
      <c r="AD29" s="3"/>
      <c r="AE29" s="3">
        <f t="shared" si="1"/>
        <v>0</v>
      </c>
    </row>
    <row r="30" spans="1:31" s="13" customFormat="1">
      <c r="A30" s="3" t="s">
        <v>210</v>
      </c>
      <c r="C30" s="13" t="s">
        <v>167</v>
      </c>
      <c r="E30" s="3">
        <v>6613222</v>
      </c>
      <c r="F30" s="3"/>
      <c r="G30" s="3">
        <v>32757</v>
      </c>
      <c r="H30" s="3"/>
      <c r="I30" s="7">
        <f t="shared" si="3"/>
        <v>3133535</v>
      </c>
      <c r="J30" s="3"/>
      <c r="K30" s="3">
        <v>9779514</v>
      </c>
      <c r="L30" s="3"/>
      <c r="M30" s="7">
        <f t="shared" si="0"/>
        <v>1029021</v>
      </c>
      <c r="N30" s="3"/>
      <c r="O30" s="3">
        <v>2828969</v>
      </c>
      <c r="P30" s="3"/>
      <c r="Q30" s="3">
        <v>3857990</v>
      </c>
      <c r="R30" s="3"/>
      <c r="S30" s="3">
        <v>53288</v>
      </c>
      <c r="T30" s="3"/>
      <c r="U30" s="3">
        <v>2127155</v>
      </c>
      <c r="V30" s="3"/>
      <c r="W30" s="3">
        <v>439</v>
      </c>
      <c r="X30" s="3"/>
      <c r="Y30" s="3">
        <v>2700187</v>
      </c>
      <c r="Z30" s="3"/>
      <c r="AA30" s="3">
        <v>1040455</v>
      </c>
      <c r="AB30" s="3"/>
      <c r="AC30" s="20">
        <f t="shared" si="2"/>
        <v>5921524</v>
      </c>
      <c r="AD30" s="3"/>
      <c r="AE30" s="3">
        <f t="shared" si="1"/>
        <v>0</v>
      </c>
    </row>
    <row r="31" spans="1:31" s="13" customFormat="1">
      <c r="A31" s="3" t="s">
        <v>368</v>
      </c>
      <c r="C31" s="13" t="s">
        <v>170</v>
      </c>
      <c r="E31" s="3">
        <v>32975347</v>
      </c>
      <c r="F31" s="3"/>
      <c r="G31" s="3">
        <v>70395</v>
      </c>
      <c r="H31" s="3"/>
      <c r="I31" s="7">
        <f t="shared" si="3"/>
        <v>39090190</v>
      </c>
      <c r="J31" s="3"/>
      <c r="K31" s="3">
        <v>72135932</v>
      </c>
      <c r="L31" s="3"/>
      <c r="M31" s="7">
        <f t="shared" si="0"/>
        <v>5219776</v>
      </c>
      <c r="N31" s="3"/>
      <c r="O31" s="3">
        <v>26898766</v>
      </c>
      <c r="P31" s="3"/>
      <c r="Q31" s="3">
        <v>32118542</v>
      </c>
      <c r="R31" s="3"/>
      <c r="S31" s="3">
        <v>0</v>
      </c>
      <c r="T31" s="3"/>
      <c r="U31" s="3">
        <v>604659</v>
      </c>
      <c r="V31" s="3"/>
      <c r="W31" s="3">
        <v>3212881</v>
      </c>
      <c r="X31" s="3"/>
      <c r="Y31" s="3">
        <v>456782</v>
      </c>
      <c r="Z31" s="3"/>
      <c r="AA31" s="3">
        <v>35743068</v>
      </c>
      <c r="AB31" s="3"/>
      <c r="AC31" s="20">
        <f t="shared" si="2"/>
        <v>40017390</v>
      </c>
      <c r="AD31" s="3"/>
      <c r="AE31" s="3">
        <f t="shared" si="1"/>
        <v>0</v>
      </c>
    </row>
    <row r="32" spans="1:31" s="13" customFormat="1">
      <c r="A32" s="3" t="s">
        <v>321</v>
      </c>
      <c r="C32" s="13" t="s">
        <v>169</v>
      </c>
      <c r="E32" s="3">
        <v>6945429</v>
      </c>
      <c r="F32" s="3"/>
      <c r="G32" s="3">
        <v>0</v>
      </c>
      <c r="H32" s="3"/>
      <c r="I32" s="7">
        <f t="shared" si="3"/>
        <v>9285863</v>
      </c>
      <c r="J32" s="3"/>
      <c r="K32" s="3">
        <v>16231292</v>
      </c>
      <c r="L32" s="3"/>
      <c r="M32" s="7">
        <f t="shared" si="0"/>
        <v>1868328</v>
      </c>
      <c r="N32" s="3"/>
      <c r="O32" s="3">
        <v>8305071</v>
      </c>
      <c r="P32" s="3"/>
      <c r="Q32" s="3">
        <v>10173399</v>
      </c>
      <c r="R32" s="3"/>
      <c r="S32" s="3">
        <v>69900</v>
      </c>
      <c r="T32" s="3"/>
      <c r="U32" s="3">
        <v>2077345</v>
      </c>
      <c r="V32" s="3"/>
      <c r="W32" s="3">
        <v>41667</v>
      </c>
      <c r="X32" s="3"/>
      <c r="Y32" s="3">
        <v>18252</v>
      </c>
      <c r="Z32" s="3"/>
      <c r="AA32" s="3">
        <v>3850729</v>
      </c>
      <c r="AB32" s="3"/>
      <c r="AC32" s="20">
        <f t="shared" si="2"/>
        <v>6057893</v>
      </c>
      <c r="AD32" s="3"/>
      <c r="AE32" s="3">
        <f t="shared" si="1"/>
        <v>0</v>
      </c>
    </row>
    <row r="33" spans="1:31" s="13" customFormat="1">
      <c r="A33" s="3" t="s">
        <v>212</v>
      </c>
      <c r="C33" s="13" t="s">
        <v>172</v>
      </c>
      <c r="E33" s="3">
        <v>754945</v>
      </c>
      <c r="F33" s="3"/>
      <c r="G33" s="3">
        <v>17604</v>
      </c>
      <c r="H33" s="3"/>
      <c r="I33" s="7">
        <f t="shared" si="3"/>
        <v>1792447</v>
      </c>
      <c r="J33" s="3"/>
      <c r="K33" s="3">
        <v>2564996</v>
      </c>
      <c r="L33" s="3"/>
      <c r="M33" s="7">
        <f t="shared" si="0"/>
        <v>452101</v>
      </c>
      <c r="N33" s="3"/>
      <c r="O33" s="3">
        <v>1553691</v>
      </c>
      <c r="P33" s="3"/>
      <c r="Q33" s="3">
        <v>2005792</v>
      </c>
      <c r="R33" s="3"/>
      <c r="S33" s="3">
        <f>11883+118771</f>
        <v>130654</v>
      </c>
      <c r="T33" s="3"/>
      <c r="U33" s="3">
        <f>127888+17604+3+1465+1657+38672+11658</f>
        <v>198947</v>
      </c>
      <c r="V33" s="3"/>
      <c r="W33" s="3">
        <v>229603</v>
      </c>
      <c r="X33" s="3"/>
      <c r="Y33" s="3">
        <v>0</v>
      </c>
      <c r="Z33" s="3"/>
      <c r="AA33" s="3">
        <v>0</v>
      </c>
      <c r="AB33" s="3"/>
      <c r="AC33" s="20">
        <f t="shared" si="2"/>
        <v>559204</v>
      </c>
      <c r="AD33" s="3"/>
      <c r="AE33" s="3">
        <f t="shared" si="1"/>
        <v>0</v>
      </c>
    </row>
    <row r="34" spans="1:31" s="13" customFormat="1">
      <c r="A34" s="3" t="s">
        <v>247</v>
      </c>
      <c r="C34" s="13" t="s">
        <v>173</v>
      </c>
      <c r="E34" s="3">
        <v>12042475</v>
      </c>
      <c r="F34" s="3"/>
      <c r="G34" s="3">
        <v>0</v>
      </c>
      <c r="H34" s="3"/>
      <c r="I34" s="7">
        <f t="shared" si="3"/>
        <v>3404053</v>
      </c>
      <c r="J34" s="3"/>
      <c r="K34" s="3">
        <v>15446528</v>
      </c>
      <c r="L34" s="3"/>
      <c r="M34" s="7">
        <f t="shared" si="0"/>
        <v>1008236</v>
      </c>
      <c r="N34" s="3"/>
      <c r="O34" s="3">
        <v>2039111</v>
      </c>
      <c r="P34" s="3"/>
      <c r="Q34" s="3">
        <v>3047347</v>
      </c>
      <c r="R34" s="3"/>
      <c r="S34" s="3">
        <v>36829</v>
      </c>
      <c r="T34" s="3"/>
      <c r="U34" s="3">
        <v>1069092</v>
      </c>
      <c r="V34" s="3"/>
      <c r="W34" s="3">
        <v>10788</v>
      </c>
      <c r="X34" s="3"/>
      <c r="Y34" s="3">
        <v>225993</v>
      </c>
      <c r="Z34" s="3"/>
      <c r="AA34" s="3">
        <v>11056479</v>
      </c>
      <c r="AB34" s="3"/>
      <c r="AC34" s="20">
        <f t="shared" si="2"/>
        <v>12399181</v>
      </c>
      <c r="AD34" s="3"/>
      <c r="AE34" s="3">
        <f t="shared" si="1"/>
        <v>0</v>
      </c>
    </row>
    <row r="35" spans="1:31" s="13" customFormat="1">
      <c r="A35" s="3" t="s">
        <v>213</v>
      </c>
      <c r="C35" s="13" t="s">
        <v>174</v>
      </c>
      <c r="E35" s="3">
        <v>11429510</v>
      </c>
      <c r="F35" s="3"/>
      <c r="G35" s="3">
        <v>98887</v>
      </c>
      <c r="H35" s="3"/>
      <c r="I35" s="7">
        <f t="shared" si="3"/>
        <v>15829892</v>
      </c>
      <c r="J35" s="3"/>
      <c r="K35" s="3">
        <v>27358289</v>
      </c>
      <c r="L35" s="3"/>
      <c r="M35" s="7">
        <f t="shared" si="0"/>
        <v>1969749</v>
      </c>
      <c r="N35" s="3"/>
      <c r="O35" s="3">
        <v>15359071</v>
      </c>
      <c r="P35" s="3"/>
      <c r="Q35" s="3">
        <v>17328820</v>
      </c>
      <c r="R35" s="3"/>
      <c r="S35" s="3">
        <v>2229</v>
      </c>
      <c r="T35" s="3"/>
      <c r="U35" s="3">
        <v>8088219</v>
      </c>
      <c r="V35" s="3"/>
      <c r="W35" s="3">
        <v>86428</v>
      </c>
      <c r="X35" s="3"/>
      <c r="Y35" s="3">
        <v>37498</v>
      </c>
      <c r="Z35" s="3"/>
      <c r="AA35" s="3">
        <v>1815095</v>
      </c>
      <c r="AB35" s="3"/>
      <c r="AC35" s="20">
        <f t="shared" si="2"/>
        <v>10029469</v>
      </c>
      <c r="AD35" s="3"/>
      <c r="AE35" s="3">
        <f t="shared" si="1"/>
        <v>0</v>
      </c>
    </row>
    <row r="36" spans="1:31" s="13" customFormat="1" hidden="1">
      <c r="A36" s="3" t="s">
        <v>289</v>
      </c>
      <c r="C36" s="13" t="s">
        <v>175</v>
      </c>
      <c r="E36" s="3">
        <v>0</v>
      </c>
      <c r="F36" s="3"/>
      <c r="G36" s="3">
        <v>0</v>
      </c>
      <c r="H36" s="3"/>
      <c r="I36" s="7">
        <f t="shared" si="3"/>
        <v>0</v>
      </c>
      <c r="J36" s="3"/>
      <c r="K36" s="3">
        <v>0</v>
      </c>
      <c r="L36" s="3"/>
      <c r="M36" s="7">
        <f t="shared" si="0"/>
        <v>0</v>
      </c>
      <c r="N36" s="3"/>
      <c r="O36" s="3">
        <v>0</v>
      </c>
      <c r="P36" s="3"/>
      <c r="Q36" s="3">
        <v>0</v>
      </c>
      <c r="R36" s="3"/>
      <c r="S36" s="3">
        <v>0</v>
      </c>
      <c r="T36" s="3"/>
      <c r="U36" s="3">
        <v>0</v>
      </c>
      <c r="V36" s="3"/>
      <c r="W36" s="3">
        <v>0</v>
      </c>
      <c r="X36" s="3"/>
      <c r="Y36" s="3">
        <v>0</v>
      </c>
      <c r="Z36" s="3"/>
      <c r="AA36" s="3">
        <v>0</v>
      </c>
      <c r="AB36" s="3"/>
      <c r="AC36" s="20">
        <f t="shared" si="2"/>
        <v>0</v>
      </c>
      <c r="AE36" s="3">
        <f t="shared" si="1"/>
        <v>0</v>
      </c>
    </row>
    <row r="37" spans="1:31" s="13" customFormat="1">
      <c r="A37" s="3" t="s">
        <v>215</v>
      </c>
      <c r="C37" s="13" t="s">
        <v>144</v>
      </c>
      <c r="E37" s="3">
        <v>8915935</v>
      </c>
      <c r="F37" s="3"/>
      <c r="G37" s="3">
        <v>0</v>
      </c>
      <c r="H37" s="3"/>
      <c r="I37" s="7">
        <f t="shared" si="3"/>
        <v>10611506</v>
      </c>
      <c r="J37" s="3"/>
      <c r="K37" s="3">
        <v>19527441</v>
      </c>
      <c r="L37" s="3"/>
      <c r="M37" s="7">
        <f t="shared" si="0"/>
        <v>2625673</v>
      </c>
      <c r="N37" s="3"/>
      <c r="O37" s="3">
        <v>9059647</v>
      </c>
      <c r="P37" s="3"/>
      <c r="Q37" s="3">
        <v>11685320</v>
      </c>
      <c r="R37" s="3"/>
      <c r="S37" s="3">
        <v>139657</v>
      </c>
      <c r="T37" s="3"/>
      <c r="U37" s="3">
        <v>3680923</v>
      </c>
      <c r="V37" s="3"/>
      <c r="W37" s="3">
        <v>0</v>
      </c>
      <c r="X37" s="3"/>
      <c r="Y37" s="3">
        <v>1095975</v>
      </c>
      <c r="Z37" s="3"/>
      <c r="AA37" s="3">
        <v>2925566</v>
      </c>
      <c r="AB37" s="3"/>
      <c r="AC37" s="20">
        <f t="shared" si="2"/>
        <v>7842121</v>
      </c>
      <c r="AD37" s="3"/>
      <c r="AE37" s="3">
        <f t="shared" si="1"/>
        <v>0</v>
      </c>
    </row>
    <row r="38" spans="1:31" s="13" customFormat="1">
      <c r="A38" s="3" t="s">
        <v>369</v>
      </c>
      <c r="C38" s="13" t="s">
        <v>178</v>
      </c>
      <c r="E38" s="3">
        <v>7880715</v>
      </c>
      <c r="F38" s="3"/>
      <c r="G38" s="3">
        <v>0</v>
      </c>
      <c r="H38" s="3"/>
      <c r="I38" s="7">
        <f t="shared" si="3"/>
        <v>21469665</v>
      </c>
      <c r="J38" s="3"/>
      <c r="K38" s="3">
        <v>29350380</v>
      </c>
      <c r="L38" s="3"/>
      <c r="M38" s="7">
        <f t="shared" si="0"/>
        <v>970042</v>
      </c>
      <c r="N38" s="3"/>
      <c r="O38" s="3">
        <v>6957300</v>
      </c>
      <c r="P38" s="3"/>
      <c r="Q38" s="3">
        <v>7927342</v>
      </c>
      <c r="R38" s="3"/>
      <c r="S38" s="3">
        <v>55489</v>
      </c>
      <c r="T38" s="3"/>
      <c r="U38" s="3">
        <v>126255</v>
      </c>
      <c r="V38" s="3"/>
      <c r="W38" s="3">
        <v>524</v>
      </c>
      <c r="X38" s="3"/>
      <c r="Y38" s="3">
        <v>14527784</v>
      </c>
      <c r="Z38" s="3"/>
      <c r="AA38" s="3">
        <v>6712986</v>
      </c>
      <c r="AB38" s="3"/>
      <c r="AC38" s="20">
        <f t="shared" si="2"/>
        <v>21423038</v>
      </c>
      <c r="AD38" s="3"/>
      <c r="AE38" s="3">
        <f t="shared" si="1"/>
        <v>0</v>
      </c>
    </row>
    <row r="39" spans="1:31" s="13" customFormat="1">
      <c r="A39" s="3" t="s">
        <v>248</v>
      </c>
      <c r="C39" s="13" t="s">
        <v>188</v>
      </c>
      <c r="E39" s="3">
        <v>20512373</v>
      </c>
      <c r="F39" s="3"/>
      <c r="G39" s="3">
        <v>223362</v>
      </c>
      <c r="H39" s="3"/>
      <c r="I39" s="7">
        <f t="shared" si="3"/>
        <v>7275702</v>
      </c>
      <c r="J39" s="3"/>
      <c r="K39" s="3">
        <v>28011437</v>
      </c>
      <c r="L39" s="3"/>
      <c r="M39" s="7">
        <f t="shared" si="0"/>
        <v>1363416</v>
      </c>
      <c r="N39" s="3"/>
      <c r="O39" s="3">
        <v>6199541</v>
      </c>
      <c r="P39" s="3"/>
      <c r="Q39" s="3">
        <v>7562957</v>
      </c>
      <c r="R39" s="3"/>
      <c r="S39" s="3">
        <v>63944</v>
      </c>
      <c r="T39" s="3"/>
      <c r="U39" s="3">
        <v>53883</v>
      </c>
      <c r="V39" s="3"/>
      <c r="W39" s="3">
        <v>696356</v>
      </c>
      <c r="X39" s="3"/>
      <c r="Y39" s="3">
        <v>825576</v>
      </c>
      <c r="Z39" s="3"/>
      <c r="AA39" s="3">
        <v>18808721</v>
      </c>
      <c r="AB39" s="3"/>
      <c r="AC39" s="20">
        <f t="shared" si="2"/>
        <v>20448480</v>
      </c>
      <c r="AD39" s="3"/>
      <c r="AE39" s="3">
        <f t="shared" si="1"/>
        <v>0</v>
      </c>
    </row>
    <row r="40" spans="1:31" s="13" customFormat="1">
      <c r="A40" s="3" t="s">
        <v>219</v>
      </c>
      <c r="C40" s="13" t="s">
        <v>180</v>
      </c>
      <c r="E40" s="3">
        <v>9469535</v>
      </c>
      <c r="F40" s="3"/>
      <c r="G40" s="3">
        <v>0</v>
      </c>
      <c r="H40" s="3"/>
      <c r="I40" s="7">
        <f t="shared" si="3"/>
        <v>8333815</v>
      </c>
      <c r="J40" s="3"/>
      <c r="K40" s="3">
        <v>17803350</v>
      </c>
      <c r="L40" s="3"/>
      <c r="M40" s="7">
        <f t="shared" si="0"/>
        <v>1832787</v>
      </c>
      <c r="N40" s="3"/>
      <c r="O40" s="3">
        <v>7194843</v>
      </c>
      <c r="P40" s="3"/>
      <c r="Q40" s="3">
        <v>9027630</v>
      </c>
      <c r="R40" s="3"/>
      <c r="S40" s="3">
        <v>136972</v>
      </c>
      <c r="T40" s="3"/>
      <c r="U40" s="3">
        <v>203435</v>
      </c>
      <c r="V40" s="3"/>
      <c r="W40" s="3">
        <v>698643</v>
      </c>
      <c r="X40" s="3"/>
      <c r="Y40" s="3">
        <v>1223921</v>
      </c>
      <c r="Z40" s="3"/>
      <c r="AA40" s="3">
        <v>6512749</v>
      </c>
      <c r="AB40" s="3"/>
      <c r="AC40" s="20">
        <f t="shared" si="2"/>
        <v>8775720</v>
      </c>
      <c r="AD40" s="3"/>
      <c r="AE40" s="3">
        <f t="shared" si="1"/>
        <v>0</v>
      </c>
    </row>
    <row r="41" spans="1:31" s="13" customFormat="1">
      <c r="A41" s="3" t="s">
        <v>370</v>
      </c>
      <c r="C41" s="13" t="s">
        <v>183</v>
      </c>
      <c r="E41" s="3">
        <v>4896926</v>
      </c>
      <c r="F41" s="3"/>
      <c r="G41" s="3">
        <v>0</v>
      </c>
      <c r="H41" s="3"/>
      <c r="I41" s="7">
        <f t="shared" si="3"/>
        <v>15289526</v>
      </c>
      <c r="J41" s="3"/>
      <c r="K41" s="3">
        <v>20186452</v>
      </c>
      <c r="L41" s="3"/>
      <c r="M41" s="7">
        <f t="shared" si="0"/>
        <v>3238221</v>
      </c>
      <c r="N41" s="3"/>
      <c r="O41" s="3">
        <v>13830221</v>
      </c>
      <c r="P41" s="3"/>
      <c r="Q41" s="3">
        <v>17068442</v>
      </c>
      <c r="R41" s="3"/>
      <c r="S41" s="3">
        <v>0</v>
      </c>
      <c r="T41" s="3"/>
      <c r="U41" s="3">
        <v>92965</v>
      </c>
      <c r="V41" s="3"/>
      <c r="W41" s="3">
        <v>0</v>
      </c>
      <c r="X41" s="3"/>
      <c r="Y41" s="3">
        <v>361694</v>
      </c>
      <c r="Z41" s="3"/>
      <c r="AA41" s="3">
        <v>2663351</v>
      </c>
      <c r="AB41" s="3"/>
      <c r="AC41" s="20">
        <f t="shared" si="2"/>
        <v>3118010</v>
      </c>
      <c r="AD41" s="3"/>
      <c r="AE41" s="3">
        <f t="shared" si="1"/>
        <v>0</v>
      </c>
    </row>
    <row r="42" spans="1:31" s="13" customFormat="1">
      <c r="A42" s="3" t="s">
        <v>371</v>
      </c>
      <c r="C42" s="13" t="s">
        <v>185</v>
      </c>
      <c r="E42" s="3">
        <f>24610662+1200896+151301</f>
        <v>25962859</v>
      </c>
      <c r="F42" s="3"/>
      <c r="G42" s="3">
        <v>52818</v>
      </c>
      <c r="H42" s="3"/>
      <c r="I42" s="7">
        <f t="shared" si="3"/>
        <v>48722436</v>
      </c>
      <c r="J42" s="3"/>
      <c r="K42" s="3">
        <v>74738113</v>
      </c>
      <c r="L42" s="3"/>
      <c r="M42" s="7">
        <f t="shared" si="0"/>
        <v>4479902</v>
      </c>
      <c r="N42" s="3"/>
      <c r="O42" s="3">
        <v>30273526</v>
      </c>
      <c r="P42" s="3"/>
      <c r="Q42" s="3">
        <v>34753428</v>
      </c>
      <c r="R42" s="3"/>
      <c r="S42" s="3">
        <f>87517+195883+7252</f>
        <v>290652</v>
      </c>
      <c r="T42" s="3"/>
      <c r="U42" s="3">
        <f>45566+73088+1285228+1000329+17623+48090+23019961</f>
        <v>25489885</v>
      </c>
      <c r="V42" s="3"/>
      <c r="W42" s="3">
        <f>1706703+128102+362667+76451</f>
        <v>2273923</v>
      </c>
      <c r="X42" s="3"/>
      <c r="Y42" s="3">
        <f>124671+13477</f>
        <v>138148</v>
      </c>
      <c r="Z42" s="3"/>
      <c r="AA42" s="3">
        <v>11792077</v>
      </c>
      <c r="AB42" s="3"/>
      <c r="AC42" s="20">
        <f t="shared" si="2"/>
        <v>39984685</v>
      </c>
      <c r="AD42" s="3"/>
      <c r="AE42" s="3">
        <f t="shared" si="1"/>
        <v>0</v>
      </c>
    </row>
    <row r="43" spans="1:31" s="13" customFormat="1">
      <c r="A43" s="3" t="s">
        <v>214</v>
      </c>
      <c r="C43" s="13" t="s">
        <v>176</v>
      </c>
      <c r="E43" s="3">
        <v>8603928</v>
      </c>
      <c r="F43" s="3"/>
      <c r="G43" s="3">
        <v>20284</v>
      </c>
      <c r="H43" s="3"/>
      <c r="I43" s="7">
        <f t="shared" si="3"/>
        <v>6336024</v>
      </c>
      <c r="J43" s="3"/>
      <c r="K43" s="3">
        <v>14960236</v>
      </c>
      <c r="L43" s="3"/>
      <c r="M43" s="7">
        <f t="shared" si="0"/>
        <v>1064954</v>
      </c>
      <c r="N43" s="3"/>
      <c r="O43" s="3">
        <v>5431629</v>
      </c>
      <c r="P43" s="3"/>
      <c r="Q43" s="3">
        <v>6496583</v>
      </c>
      <c r="R43" s="3"/>
      <c r="S43" s="3">
        <v>209</v>
      </c>
      <c r="T43" s="3"/>
      <c r="U43" s="3">
        <v>447036</v>
      </c>
      <c r="V43" s="3"/>
      <c r="W43" s="3">
        <v>75103</v>
      </c>
      <c r="X43" s="3"/>
      <c r="Y43" s="3">
        <v>397479</v>
      </c>
      <c r="Z43" s="3"/>
      <c r="AA43" s="3">
        <v>7543826</v>
      </c>
      <c r="AB43" s="3"/>
      <c r="AC43" s="20">
        <f t="shared" si="2"/>
        <v>8463653</v>
      </c>
      <c r="AD43" s="3"/>
      <c r="AE43" s="3">
        <f t="shared" si="1"/>
        <v>0</v>
      </c>
    </row>
    <row r="44" spans="1:31" s="13" customFormat="1">
      <c r="A44" s="3" t="s">
        <v>328</v>
      </c>
      <c r="C44" s="13" t="s">
        <v>206</v>
      </c>
      <c r="E44" s="3">
        <v>13443165</v>
      </c>
      <c r="F44" s="3"/>
      <c r="G44" s="3">
        <v>0</v>
      </c>
      <c r="H44" s="3"/>
      <c r="I44" s="7">
        <f t="shared" si="3"/>
        <v>16261629</v>
      </c>
      <c r="J44" s="3"/>
      <c r="K44" s="3">
        <v>29704794</v>
      </c>
      <c r="L44" s="3"/>
      <c r="M44" s="7">
        <f t="shared" si="0"/>
        <v>3068879</v>
      </c>
      <c r="N44" s="3"/>
      <c r="O44" s="3">
        <f>616350+14046782</f>
        <v>14663132</v>
      </c>
      <c r="P44" s="3"/>
      <c r="Q44" s="3">
        <v>17732011</v>
      </c>
      <c r="R44" s="3"/>
      <c r="S44" s="3">
        <f>9040+77063</f>
        <v>86103</v>
      </c>
      <c r="T44" s="3"/>
      <c r="U44" s="3">
        <f>7001+4739017+141999+24222</f>
        <v>4912239</v>
      </c>
      <c r="V44" s="3"/>
      <c r="W44" s="3">
        <v>2392010</v>
      </c>
      <c r="X44" s="3"/>
      <c r="Y44" s="3">
        <f>282959+91371+15649+58414+283742</f>
        <v>732135</v>
      </c>
      <c r="Z44" s="3"/>
      <c r="AA44" s="3">
        <v>3850296</v>
      </c>
      <c r="AB44" s="3"/>
      <c r="AC44" s="20">
        <f t="shared" si="2"/>
        <v>11972783</v>
      </c>
      <c r="AD44" s="3"/>
      <c r="AE44" s="3">
        <f t="shared" si="1"/>
        <v>0</v>
      </c>
    </row>
    <row r="45" spans="1:31" s="13" customFormat="1">
      <c r="A45" s="3" t="s">
        <v>372</v>
      </c>
      <c r="C45" s="13" t="s">
        <v>192</v>
      </c>
      <c r="E45" s="3">
        <v>12000449</v>
      </c>
      <c r="F45" s="3"/>
      <c r="G45" s="3">
        <v>0</v>
      </c>
      <c r="H45" s="3"/>
      <c r="I45" s="7">
        <f t="shared" si="3"/>
        <v>5223806</v>
      </c>
      <c r="J45" s="3"/>
      <c r="K45" s="3">
        <v>17224255</v>
      </c>
      <c r="L45" s="3"/>
      <c r="M45" s="7">
        <f t="shared" si="0"/>
        <v>1913806</v>
      </c>
      <c r="N45" s="3"/>
      <c r="O45" s="3">
        <v>4425131</v>
      </c>
      <c r="P45" s="3"/>
      <c r="Q45" s="3">
        <v>6338937</v>
      </c>
      <c r="R45" s="3"/>
      <c r="S45" s="3">
        <v>0</v>
      </c>
      <c r="T45" s="3"/>
      <c r="U45" s="3">
        <v>3283846</v>
      </c>
      <c r="V45" s="3"/>
      <c r="W45" s="3">
        <v>235764</v>
      </c>
      <c r="X45" s="3"/>
      <c r="Y45" s="3">
        <v>210297</v>
      </c>
      <c r="Z45" s="3"/>
      <c r="AA45" s="3">
        <v>7155411</v>
      </c>
      <c r="AB45" s="3"/>
      <c r="AC45" s="20">
        <f t="shared" si="2"/>
        <v>10885318</v>
      </c>
      <c r="AD45" s="3"/>
      <c r="AE45" s="3">
        <f t="shared" si="1"/>
        <v>0</v>
      </c>
    </row>
    <row r="46" spans="1:31" s="13" customFormat="1">
      <c r="A46" s="3" t="s">
        <v>249</v>
      </c>
      <c r="C46" s="13" t="s">
        <v>220</v>
      </c>
      <c r="E46" s="3">
        <f>4756654+5000</f>
        <v>4761654</v>
      </c>
      <c r="F46" s="3"/>
      <c r="G46" s="3">
        <v>23547</v>
      </c>
      <c r="H46" s="3"/>
      <c r="I46" s="7">
        <f t="shared" si="3"/>
        <v>1733963</v>
      </c>
      <c r="J46" s="3"/>
      <c r="K46" s="3">
        <v>6519164</v>
      </c>
      <c r="L46" s="3"/>
      <c r="M46" s="7">
        <f t="shared" si="0"/>
        <v>570615</v>
      </c>
      <c r="N46" s="3"/>
      <c r="O46" s="3">
        <v>1340805</v>
      </c>
      <c r="P46" s="3"/>
      <c r="Q46" s="3">
        <v>1911420</v>
      </c>
      <c r="R46" s="3"/>
      <c r="S46" s="3">
        <v>2145</v>
      </c>
      <c r="T46" s="3"/>
      <c r="U46" s="3">
        <v>1082741</v>
      </c>
      <c r="V46" s="3"/>
      <c r="W46" s="3">
        <v>0</v>
      </c>
      <c r="X46" s="3"/>
      <c r="Y46" s="3">
        <v>6552</v>
      </c>
      <c r="Z46" s="3"/>
      <c r="AA46" s="3">
        <v>3516306</v>
      </c>
      <c r="AB46" s="3"/>
      <c r="AC46" s="20">
        <f t="shared" si="2"/>
        <v>4607744</v>
      </c>
      <c r="AD46" s="3"/>
      <c r="AE46" s="3">
        <f t="shared" si="1"/>
        <v>0</v>
      </c>
    </row>
    <row r="47" spans="1:31" s="13" customFormat="1">
      <c r="A47" s="3" t="s">
        <v>373</v>
      </c>
      <c r="C47" s="13" t="s">
        <v>191</v>
      </c>
      <c r="E47" s="3">
        <f>17949661+782445</f>
        <v>18732106</v>
      </c>
      <c r="F47" s="3"/>
      <c r="G47" s="3">
        <v>0</v>
      </c>
      <c r="H47" s="3"/>
      <c r="I47" s="7">
        <f t="shared" si="3"/>
        <v>4420354</v>
      </c>
      <c r="J47" s="3"/>
      <c r="K47" s="3">
        <v>23152460</v>
      </c>
      <c r="L47" s="3"/>
      <c r="M47" s="7">
        <f t="shared" si="0"/>
        <v>2127839</v>
      </c>
      <c r="N47" s="3"/>
      <c r="O47" s="3">
        <f>325458+2756175</f>
        <v>3081633</v>
      </c>
      <c r="P47" s="3"/>
      <c r="Q47" s="3">
        <v>5209472</v>
      </c>
      <c r="R47" s="3"/>
      <c r="S47" s="3">
        <f>38110+82359</f>
        <v>120469</v>
      </c>
      <c r="T47" s="3"/>
      <c r="U47" s="3">
        <f>3254886+703157+675709+31442+19813+27691</f>
        <v>4712698</v>
      </c>
      <c r="V47" s="3"/>
      <c r="W47" s="3">
        <f>3069391+784686</f>
        <v>3854077</v>
      </c>
      <c r="X47" s="3"/>
      <c r="Y47" s="3">
        <f>69381+180902+67854+1125458+101167</f>
        <v>1544762</v>
      </c>
      <c r="Z47" s="3"/>
      <c r="AA47" s="3">
        <v>7710982</v>
      </c>
      <c r="AB47" s="3"/>
      <c r="AC47" s="20">
        <f t="shared" si="2"/>
        <v>17942988</v>
      </c>
      <c r="AD47" s="3"/>
      <c r="AE47" s="3">
        <f t="shared" si="1"/>
        <v>0</v>
      </c>
    </row>
    <row r="48" spans="1:31" s="13" customFormat="1" ht="11.25" customHeight="1">
      <c r="A48" s="3" t="s">
        <v>250</v>
      </c>
      <c r="C48" s="13" t="s">
        <v>159</v>
      </c>
      <c r="E48" s="3">
        <v>9594204</v>
      </c>
      <c r="F48" s="3"/>
      <c r="G48" s="3">
        <v>241244</v>
      </c>
      <c r="H48" s="3"/>
      <c r="I48" s="7">
        <f t="shared" si="3"/>
        <v>10019943</v>
      </c>
      <c r="J48" s="3"/>
      <c r="K48" s="3">
        <v>19855391</v>
      </c>
      <c r="L48" s="3"/>
      <c r="M48" s="7">
        <f t="shared" si="0"/>
        <v>1706622</v>
      </c>
      <c r="N48" s="3"/>
      <c r="O48" s="3">
        <v>8439171</v>
      </c>
      <c r="P48" s="3"/>
      <c r="Q48" s="3">
        <v>10145793</v>
      </c>
      <c r="R48" s="3"/>
      <c r="S48" s="3">
        <v>30940</v>
      </c>
      <c r="T48" s="3"/>
      <c r="U48" s="3">
        <v>1228</v>
      </c>
      <c r="V48" s="3"/>
      <c r="W48" s="3">
        <v>0</v>
      </c>
      <c r="X48" s="3"/>
      <c r="Y48" s="3">
        <v>3023274</v>
      </c>
      <c r="Z48" s="3"/>
      <c r="AA48" s="3">
        <v>6654156</v>
      </c>
      <c r="AB48" s="3"/>
      <c r="AC48" s="20">
        <f t="shared" si="2"/>
        <v>9709598</v>
      </c>
      <c r="AD48" s="3"/>
      <c r="AE48" s="3">
        <f t="shared" si="1"/>
        <v>0</v>
      </c>
    </row>
    <row r="49" spans="1:31" s="13" customFormat="1">
      <c r="A49" s="3" t="s">
        <v>251</v>
      </c>
      <c r="C49" s="13" t="s">
        <v>198</v>
      </c>
      <c r="E49" s="3">
        <v>12829806</v>
      </c>
      <c r="F49" s="3"/>
      <c r="G49" s="3">
        <v>38707</v>
      </c>
      <c r="H49" s="3"/>
      <c r="I49" s="7">
        <f t="shared" si="3"/>
        <v>3075331</v>
      </c>
      <c r="J49" s="3"/>
      <c r="K49" s="3">
        <v>15943844</v>
      </c>
      <c r="L49" s="3"/>
      <c r="M49" s="7">
        <f t="shared" si="0"/>
        <v>881031</v>
      </c>
      <c r="N49" s="3"/>
      <c r="O49" s="3">
        <v>2778165</v>
      </c>
      <c r="P49" s="3"/>
      <c r="Q49" s="3">
        <v>3659196</v>
      </c>
      <c r="R49" s="3"/>
      <c r="S49" s="3">
        <v>0</v>
      </c>
      <c r="T49" s="3"/>
      <c r="U49" s="3">
        <v>982882</v>
      </c>
      <c r="V49" s="3"/>
      <c r="W49" s="3">
        <v>11000</v>
      </c>
      <c r="X49" s="3"/>
      <c r="Y49" s="3">
        <v>767786</v>
      </c>
      <c r="Z49" s="3"/>
      <c r="AA49" s="3">
        <v>10522980</v>
      </c>
      <c r="AB49" s="3"/>
      <c r="AC49" s="20">
        <f t="shared" si="2"/>
        <v>12284648</v>
      </c>
      <c r="AD49" s="3"/>
      <c r="AE49" s="3">
        <f t="shared" si="1"/>
        <v>0</v>
      </c>
    </row>
    <row r="50" spans="1:31" s="13" customFormat="1">
      <c r="A50" s="3" t="s">
        <v>252</v>
      </c>
      <c r="C50" s="13" t="s">
        <v>194</v>
      </c>
      <c r="E50" s="3">
        <v>5788917</v>
      </c>
      <c r="F50" s="3"/>
      <c r="G50" s="3">
        <v>1146570</v>
      </c>
      <c r="H50" s="3"/>
      <c r="I50" s="7">
        <f t="shared" si="3"/>
        <v>3540224</v>
      </c>
      <c r="J50" s="3"/>
      <c r="K50" s="3">
        <v>10475711</v>
      </c>
      <c r="L50" s="3"/>
      <c r="M50" s="7">
        <f t="shared" si="0"/>
        <v>602550</v>
      </c>
      <c r="N50" s="3"/>
      <c r="O50" s="3">
        <v>2810642</v>
      </c>
      <c r="P50" s="3"/>
      <c r="Q50" s="3">
        <v>3413192</v>
      </c>
      <c r="R50" s="3"/>
      <c r="S50" s="3">
        <v>0</v>
      </c>
      <c r="T50" s="3"/>
      <c r="U50" s="3">
        <v>4524325</v>
      </c>
      <c r="V50" s="3"/>
      <c r="W50" s="3">
        <v>0</v>
      </c>
      <c r="X50" s="3"/>
      <c r="Y50" s="3">
        <v>502493</v>
      </c>
      <c r="Z50" s="3"/>
      <c r="AA50" s="3">
        <v>2035701</v>
      </c>
      <c r="AB50" s="3"/>
      <c r="AC50" s="20">
        <f t="shared" si="2"/>
        <v>7062519</v>
      </c>
      <c r="AD50" s="3"/>
      <c r="AE50" s="3">
        <f t="shared" si="1"/>
        <v>0</v>
      </c>
    </row>
    <row r="51" spans="1:31" s="13" customFormat="1">
      <c r="A51" s="3" t="s">
        <v>207</v>
      </c>
      <c r="C51" s="13" t="s">
        <v>152</v>
      </c>
      <c r="E51" s="3">
        <f>8578138+20297</f>
        <v>8598435</v>
      </c>
      <c r="F51" s="3"/>
      <c r="G51" s="3">
        <v>0</v>
      </c>
      <c r="H51" s="3"/>
      <c r="I51" s="7">
        <f t="shared" si="3"/>
        <v>2803306</v>
      </c>
      <c r="J51" s="3"/>
      <c r="K51" s="3">
        <v>11401741</v>
      </c>
      <c r="L51" s="3"/>
      <c r="M51" s="7">
        <f t="shared" si="0"/>
        <v>793219</v>
      </c>
      <c r="N51" s="3"/>
      <c r="O51" s="3">
        <v>1964912</v>
      </c>
      <c r="P51" s="3"/>
      <c r="Q51" s="3">
        <v>2758131</v>
      </c>
      <c r="R51" s="3"/>
      <c r="S51" s="3">
        <v>206665</v>
      </c>
      <c r="T51" s="3"/>
      <c r="U51" s="3">
        <v>4995532</v>
      </c>
      <c r="V51" s="3"/>
      <c r="W51" s="3">
        <v>182435</v>
      </c>
      <c r="X51" s="3"/>
      <c r="Y51" s="3">
        <v>88520</v>
      </c>
      <c r="Z51" s="3"/>
      <c r="AA51" s="3">
        <v>3170458</v>
      </c>
      <c r="AB51" s="3"/>
      <c r="AC51" s="20">
        <f t="shared" si="2"/>
        <v>8643610</v>
      </c>
      <c r="AD51" s="3"/>
      <c r="AE51" s="3">
        <f t="shared" si="1"/>
        <v>0</v>
      </c>
    </row>
    <row r="52" spans="1:31" s="13" customFormat="1">
      <c r="A52" s="3" t="s">
        <v>374</v>
      </c>
      <c r="C52" s="13" t="s">
        <v>154</v>
      </c>
      <c r="E52" s="3">
        <v>8098463</v>
      </c>
      <c r="F52" s="3"/>
      <c r="G52" s="3">
        <v>0</v>
      </c>
      <c r="H52" s="3"/>
      <c r="I52" s="7">
        <f t="shared" si="3"/>
        <v>5674733</v>
      </c>
      <c r="J52" s="3"/>
      <c r="K52" s="3">
        <v>13773196</v>
      </c>
      <c r="L52" s="3"/>
      <c r="M52" s="7">
        <f t="shared" si="0"/>
        <v>1113837</v>
      </c>
      <c r="N52" s="3"/>
      <c r="O52" s="3">
        <v>4330062</v>
      </c>
      <c r="P52" s="3"/>
      <c r="Q52" s="3">
        <v>5443899</v>
      </c>
      <c r="R52" s="3"/>
      <c r="S52" s="3">
        <v>53762</v>
      </c>
      <c r="T52" s="3"/>
      <c r="U52" s="3">
        <v>432086</v>
      </c>
      <c r="V52" s="3"/>
      <c r="W52" s="3">
        <v>0</v>
      </c>
      <c r="X52" s="3"/>
      <c r="Y52" s="3">
        <v>192763</v>
      </c>
      <c r="Z52" s="3"/>
      <c r="AA52" s="3">
        <v>7650686</v>
      </c>
      <c r="AB52" s="3"/>
      <c r="AC52" s="20">
        <f t="shared" si="2"/>
        <v>8329297</v>
      </c>
      <c r="AD52" s="3"/>
      <c r="AE52" s="3">
        <f t="shared" si="1"/>
        <v>0</v>
      </c>
    </row>
    <row r="53" spans="1:31" s="13" customFormat="1">
      <c r="A53" s="3" t="s">
        <v>221</v>
      </c>
      <c r="C53" s="13" t="s">
        <v>197</v>
      </c>
      <c r="E53" s="3">
        <v>10700136</v>
      </c>
      <c r="F53" s="3"/>
      <c r="G53" s="3">
        <v>0</v>
      </c>
      <c r="H53" s="3"/>
      <c r="I53" s="7">
        <f t="shared" si="3"/>
        <v>2447684</v>
      </c>
      <c r="J53" s="3"/>
      <c r="K53" s="3">
        <v>13147820</v>
      </c>
      <c r="L53" s="3"/>
      <c r="M53" s="7">
        <f t="shared" si="0"/>
        <v>3068089</v>
      </c>
      <c r="N53" s="3"/>
      <c r="O53" s="3">
        <v>117304</v>
      </c>
      <c r="P53" s="3"/>
      <c r="Q53" s="3">
        <v>3185393</v>
      </c>
      <c r="R53" s="3"/>
      <c r="S53" s="3">
        <f>6460+5452+30000</f>
        <v>41912</v>
      </c>
      <c r="T53" s="3"/>
      <c r="U53" s="3">
        <v>8575</v>
      </c>
      <c r="V53" s="3"/>
      <c r="W53" s="3">
        <v>62223</v>
      </c>
      <c r="X53" s="3"/>
      <c r="Y53" s="3">
        <f>37759+18466+4681+57697</f>
        <v>118603</v>
      </c>
      <c r="Z53" s="3"/>
      <c r="AA53" s="3">
        <v>9731114</v>
      </c>
      <c r="AB53" s="3"/>
      <c r="AC53" s="20">
        <f t="shared" si="2"/>
        <v>9962427</v>
      </c>
      <c r="AD53" s="3"/>
      <c r="AE53" s="3">
        <f t="shared" si="1"/>
        <v>0</v>
      </c>
    </row>
    <row r="54" spans="1:31" s="13" customFormat="1">
      <c r="A54" s="3" t="s">
        <v>277</v>
      </c>
      <c r="C54" s="13" t="s">
        <v>216</v>
      </c>
      <c r="E54" s="3">
        <v>5974325</v>
      </c>
      <c r="F54" s="3"/>
      <c r="G54" s="3">
        <v>0</v>
      </c>
      <c r="H54" s="3"/>
      <c r="I54" s="7">
        <f t="shared" si="3"/>
        <v>10114417</v>
      </c>
      <c r="J54" s="3"/>
      <c r="K54" s="3">
        <v>16088742</v>
      </c>
      <c r="L54" s="3"/>
      <c r="M54" s="7">
        <f t="shared" si="0"/>
        <v>1102618</v>
      </c>
      <c r="N54" s="3"/>
      <c r="O54" s="3">
        <v>6297438</v>
      </c>
      <c r="P54" s="3"/>
      <c r="Q54" s="3">
        <v>7400056</v>
      </c>
      <c r="R54" s="3"/>
      <c r="S54" s="3">
        <f>94450+17195</f>
        <v>111645</v>
      </c>
      <c r="T54" s="3"/>
      <c r="U54" s="3">
        <f>58943+2755+37193+11502+185988</f>
        <v>296381</v>
      </c>
      <c r="V54" s="3"/>
      <c r="W54" s="3">
        <v>0</v>
      </c>
      <c r="X54" s="3"/>
      <c r="Y54" s="3">
        <v>228213</v>
      </c>
      <c r="Z54" s="3"/>
      <c r="AA54" s="3">
        <v>8052447</v>
      </c>
      <c r="AB54" s="3"/>
      <c r="AC54" s="20">
        <f t="shared" si="2"/>
        <v>8688686</v>
      </c>
      <c r="AD54" s="3"/>
      <c r="AE54" s="3">
        <f t="shared" si="1"/>
        <v>0</v>
      </c>
    </row>
    <row r="55" spans="1:31" s="13" customFormat="1">
      <c r="A55" s="3" t="s">
        <v>290</v>
      </c>
      <c r="C55" s="13" t="s">
        <v>147</v>
      </c>
      <c r="E55" s="3">
        <v>3516469</v>
      </c>
      <c r="F55" s="3"/>
      <c r="G55" s="3">
        <v>0</v>
      </c>
      <c r="H55" s="3"/>
      <c r="I55" s="7">
        <f t="shared" si="3"/>
        <v>3335038</v>
      </c>
      <c r="J55" s="3"/>
      <c r="K55" s="3">
        <v>6851507</v>
      </c>
      <c r="L55" s="3"/>
      <c r="M55" s="7">
        <f t="shared" si="0"/>
        <v>721649</v>
      </c>
      <c r="N55" s="3"/>
      <c r="O55" s="3">
        <v>2842954</v>
      </c>
      <c r="P55" s="3"/>
      <c r="Q55" s="3">
        <v>3564603</v>
      </c>
      <c r="R55" s="3"/>
      <c r="S55" s="3">
        <v>63906</v>
      </c>
      <c r="T55" s="3"/>
      <c r="U55" s="3">
        <v>131306</v>
      </c>
      <c r="V55" s="3"/>
      <c r="W55" s="3">
        <v>0</v>
      </c>
      <c r="X55" s="3"/>
      <c r="Y55" s="3">
        <v>490696</v>
      </c>
      <c r="Z55" s="3"/>
      <c r="AA55" s="3">
        <v>2600996</v>
      </c>
      <c r="AB55" s="3"/>
      <c r="AC55" s="20">
        <f t="shared" si="2"/>
        <v>3286904</v>
      </c>
      <c r="AD55" s="3"/>
      <c r="AE55" s="3">
        <f t="shared" si="1"/>
        <v>0</v>
      </c>
    </row>
    <row r="56" spans="1:31" s="13" customFormat="1">
      <c r="A56" s="3" t="s">
        <v>217</v>
      </c>
      <c r="C56" s="13" t="s">
        <v>218</v>
      </c>
      <c r="E56" s="3">
        <v>3684734</v>
      </c>
      <c r="F56" s="3"/>
      <c r="G56" s="3">
        <v>0</v>
      </c>
      <c r="H56" s="3"/>
      <c r="I56" s="7">
        <f t="shared" si="3"/>
        <v>4438146</v>
      </c>
      <c r="J56" s="3"/>
      <c r="K56" s="3">
        <v>8122880</v>
      </c>
      <c r="L56" s="3"/>
      <c r="M56" s="7">
        <f t="shared" si="0"/>
        <v>1240105</v>
      </c>
      <c r="N56" s="3"/>
      <c r="O56" s="3">
        <v>3115196</v>
      </c>
      <c r="P56" s="3"/>
      <c r="Q56" s="3">
        <v>4355301</v>
      </c>
      <c r="R56" s="3"/>
      <c r="S56" s="3">
        <v>54909</v>
      </c>
      <c r="T56" s="3"/>
      <c r="U56" s="3">
        <v>30980</v>
      </c>
      <c r="V56" s="3"/>
      <c r="W56" s="3">
        <v>0</v>
      </c>
      <c r="X56" s="3"/>
      <c r="Y56" s="3">
        <v>159268</v>
      </c>
      <c r="Z56" s="3"/>
      <c r="AA56" s="3">
        <v>3522422</v>
      </c>
      <c r="AB56" s="3"/>
      <c r="AC56" s="20">
        <f t="shared" si="2"/>
        <v>3767579</v>
      </c>
      <c r="AD56" s="3"/>
      <c r="AE56" s="3">
        <f t="shared" si="1"/>
        <v>0</v>
      </c>
    </row>
    <row r="57" spans="1:31" s="13" customFormat="1">
      <c r="A57" s="3" t="s">
        <v>375</v>
      </c>
      <c r="C57" s="13" t="s">
        <v>199</v>
      </c>
      <c r="E57" s="3">
        <v>10320084</v>
      </c>
      <c r="F57" s="3"/>
      <c r="G57" s="3">
        <v>0</v>
      </c>
      <c r="H57" s="3"/>
      <c r="I57" s="7">
        <f t="shared" si="3"/>
        <v>6932108</v>
      </c>
      <c r="J57" s="3"/>
      <c r="K57" s="3">
        <v>17252192</v>
      </c>
      <c r="L57" s="3"/>
      <c r="M57" s="7">
        <f t="shared" si="0"/>
        <v>2020764</v>
      </c>
      <c r="N57" s="3"/>
      <c r="O57" s="3">
        <f>5008999+1602751</f>
        <v>6611750</v>
      </c>
      <c r="P57" s="3"/>
      <c r="Q57" s="3">
        <v>8632514</v>
      </c>
      <c r="R57" s="3"/>
      <c r="S57" s="3">
        <f>4423+34972</f>
        <v>39395</v>
      </c>
      <c r="T57" s="3"/>
      <c r="U57" s="3">
        <f>67877+40</f>
        <v>67917</v>
      </c>
      <c r="V57" s="3"/>
      <c r="W57" s="3">
        <f>931478+18441</f>
        <v>949919</v>
      </c>
      <c r="X57" s="3"/>
      <c r="Y57" s="3">
        <f>8117+59058+103+97112+175825</f>
        <v>340215</v>
      </c>
      <c r="Z57" s="3"/>
      <c r="AA57" s="3">
        <v>7222232</v>
      </c>
      <c r="AB57" s="3"/>
      <c r="AC57" s="20">
        <f t="shared" si="2"/>
        <v>8619678</v>
      </c>
      <c r="AD57" s="3"/>
      <c r="AE57" s="3">
        <f t="shared" si="1"/>
        <v>0</v>
      </c>
    </row>
    <row r="58" spans="1:31" s="13" customFormat="1">
      <c r="A58" s="3" t="s">
        <v>208</v>
      </c>
      <c r="C58" s="13" t="s">
        <v>156</v>
      </c>
      <c r="E58" s="3">
        <f>10915670+27819</f>
        <v>10943489</v>
      </c>
      <c r="F58" s="3"/>
      <c r="G58" s="3">
        <v>24056</v>
      </c>
      <c r="H58" s="3"/>
      <c r="I58" s="7">
        <f t="shared" si="3"/>
        <v>3707253</v>
      </c>
      <c r="J58" s="3"/>
      <c r="K58" s="3">
        <v>14674798</v>
      </c>
      <c r="L58" s="3"/>
      <c r="M58" s="7">
        <f t="shared" si="0"/>
        <v>595666</v>
      </c>
      <c r="N58" s="3"/>
      <c r="O58" s="3">
        <v>3438051</v>
      </c>
      <c r="P58" s="3"/>
      <c r="Q58" s="3">
        <v>4033717</v>
      </c>
      <c r="R58" s="3"/>
      <c r="S58" s="3">
        <v>959</v>
      </c>
      <c r="T58" s="3"/>
      <c r="U58" s="3">
        <v>280263</v>
      </c>
      <c r="V58" s="3"/>
      <c r="W58" s="3">
        <v>0</v>
      </c>
      <c r="X58" s="3"/>
      <c r="Y58" s="3">
        <v>492430</v>
      </c>
      <c r="Z58" s="3"/>
      <c r="AA58" s="3">
        <v>9867429</v>
      </c>
      <c r="AB58" s="3"/>
      <c r="AC58" s="20">
        <f t="shared" si="2"/>
        <v>10641081</v>
      </c>
      <c r="AD58" s="3"/>
      <c r="AE58" s="3">
        <f t="shared" si="1"/>
        <v>0</v>
      </c>
    </row>
    <row r="59" spans="1:31" s="13" customFormat="1">
      <c r="A59" s="3" t="s">
        <v>363</v>
      </c>
      <c r="C59" s="13" t="s">
        <v>182</v>
      </c>
      <c r="E59" s="3">
        <v>12966255</v>
      </c>
      <c r="F59" s="3"/>
      <c r="G59" s="3">
        <v>464</v>
      </c>
      <c r="H59" s="3"/>
      <c r="I59" s="7">
        <f t="shared" si="3"/>
        <v>7676657</v>
      </c>
      <c r="J59" s="3"/>
      <c r="K59" s="3">
        <v>20643376</v>
      </c>
      <c r="L59" s="3"/>
      <c r="M59" s="7">
        <f t="shared" si="0"/>
        <v>3512169</v>
      </c>
      <c r="N59" s="3"/>
      <c r="O59" s="3">
        <v>6292522</v>
      </c>
      <c r="P59" s="3"/>
      <c r="Q59" s="3">
        <v>9804691</v>
      </c>
      <c r="R59" s="3"/>
      <c r="S59" s="3">
        <v>76926</v>
      </c>
      <c r="T59" s="3"/>
      <c r="U59" s="3">
        <v>6931988</v>
      </c>
      <c r="V59" s="3"/>
      <c r="W59" s="3">
        <v>7043</v>
      </c>
      <c r="X59" s="3"/>
      <c r="Y59" s="3">
        <v>1587965</v>
      </c>
      <c r="Z59" s="3"/>
      <c r="AA59" s="3">
        <v>2234763</v>
      </c>
      <c r="AB59" s="3"/>
      <c r="AC59" s="20">
        <f t="shared" si="2"/>
        <v>10838685</v>
      </c>
      <c r="AD59" s="3"/>
      <c r="AE59" s="3">
        <f t="shared" si="1"/>
        <v>0</v>
      </c>
    </row>
    <row r="60" spans="1:31" s="13" customFormat="1">
      <c r="A60" s="3" t="s">
        <v>253</v>
      </c>
      <c r="C60" s="13" t="s">
        <v>193</v>
      </c>
      <c r="E60" s="3">
        <f>22655701+146</f>
        <v>22655847</v>
      </c>
      <c r="F60" s="3"/>
      <c r="G60" s="3">
        <v>0</v>
      </c>
      <c r="H60" s="3"/>
      <c r="I60" s="7">
        <f t="shared" si="3"/>
        <v>5690724</v>
      </c>
      <c r="J60" s="3"/>
      <c r="K60" s="3">
        <v>28346571</v>
      </c>
      <c r="L60" s="3"/>
      <c r="M60" s="7">
        <f t="shared" si="0"/>
        <v>4598434</v>
      </c>
      <c r="N60" s="3"/>
      <c r="O60" s="3">
        <f>1428334+3560159</f>
        <v>4988493</v>
      </c>
      <c r="P60" s="3"/>
      <c r="Q60" s="3">
        <v>9586927</v>
      </c>
      <c r="R60" s="3"/>
      <c r="S60" s="3">
        <f>12266+47300</f>
        <v>59566</v>
      </c>
      <c r="T60" s="3"/>
      <c r="U60" s="3">
        <f>2903592+107829+378930+818642+88400+1942110</f>
        <v>6239503</v>
      </c>
      <c r="V60" s="3"/>
      <c r="W60" s="3">
        <v>395344</v>
      </c>
      <c r="X60" s="3"/>
      <c r="Y60" s="3">
        <f>245114+236034+16606+5105000+1996339</f>
        <v>7599093</v>
      </c>
      <c r="Z60" s="3"/>
      <c r="AA60" s="3">
        <v>4466138</v>
      </c>
      <c r="AB60" s="3"/>
      <c r="AC60" s="20">
        <f t="shared" si="2"/>
        <v>18759644</v>
      </c>
      <c r="AD60" s="3"/>
      <c r="AE60" s="3">
        <f t="shared" si="1"/>
        <v>0</v>
      </c>
    </row>
    <row r="61" spans="1:31" s="13" customFormat="1">
      <c r="A61" s="3" t="s">
        <v>254</v>
      </c>
      <c r="C61" s="13" t="s">
        <v>202</v>
      </c>
      <c r="E61" s="3">
        <f>10344629+6470885</f>
        <v>16815514</v>
      </c>
      <c r="F61" s="3"/>
      <c r="G61" s="3">
        <v>0</v>
      </c>
      <c r="H61" s="3"/>
      <c r="I61" s="7">
        <f t="shared" si="3"/>
        <v>5613979</v>
      </c>
      <c r="J61" s="3"/>
      <c r="K61" s="3">
        <v>22429493</v>
      </c>
      <c r="L61" s="3"/>
      <c r="M61" s="7">
        <f t="shared" si="0"/>
        <v>958274</v>
      </c>
      <c r="N61" s="3"/>
      <c r="O61" s="3">
        <f>1432656+3634535</f>
        <v>5067191</v>
      </c>
      <c r="P61" s="3"/>
      <c r="Q61" s="3">
        <v>6025465</v>
      </c>
      <c r="R61" s="3"/>
      <c r="S61" s="3">
        <f>80859+58985</f>
        <v>139844</v>
      </c>
      <c r="T61" s="3"/>
      <c r="U61" s="3">
        <f>785884+8577256+294170+675120+1090</f>
        <v>10333520</v>
      </c>
      <c r="V61" s="3"/>
      <c r="W61" s="3">
        <v>2467247</v>
      </c>
      <c r="X61" s="3"/>
      <c r="Y61" s="3">
        <f>3758+18257+353352</f>
        <v>375367</v>
      </c>
      <c r="Z61" s="3"/>
      <c r="AA61" s="3">
        <v>3088050</v>
      </c>
      <c r="AB61" s="3"/>
      <c r="AC61" s="20">
        <f t="shared" si="2"/>
        <v>16404028</v>
      </c>
      <c r="AD61" s="3"/>
      <c r="AE61" s="3">
        <f t="shared" si="1"/>
        <v>0</v>
      </c>
    </row>
    <row r="62" spans="1:31" s="13" customFormat="1">
      <c r="A62" s="3" t="s">
        <v>360</v>
      </c>
      <c r="C62" s="13" t="s">
        <v>203</v>
      </c>
      <c r="E62" s="3">
        <v>15905718</v>
      </c>
      <c r="F62" s="3"/>
      <c r="G62" s="3">
        <v>0</v>
      </c>
      <c r="H62" s="3"/>
      <c r="I62" s="7">
        <f t="shared" si="3"/>
        <v>9620131</v>
      </c>
      <c r="J62" s="3"/>
      <c r="K62" s="3">
        <v>25525849</v>
      </c>
      <c r="L62" s="3"/>
      <c r="M62" s="7">
        <f t="shared" si="0"/>
        <v>1311745</v>
      </c>
      <c r="N62" s="3"/>
      <c r="O62" s="3">
        <v>8823258</v>
      </c>
      <c r="P62" s="3"/>
      <c r="Q62" s="3">
        <v>10135003</v>
      </c>
      <c r="R62" s="3"/>
      <c r="S62" s="3">
        <v>95863</v>
      </c>
      <c r="T62" s="3"/>
      <c r="U62" s="3">
        <v>283371</v>
      </c>
      <c r="V62" s="3"/>
      <c r="W62" s="3">
        <v>0</v>
      </c>
      <c r="X62" s="3"/>
      <c r="Y62" s="3">
        <v>9168628</v>
      </c>
      <c r="Z62" s="3"/>
      <c r="AA62" s="3">
        <v>5842984</v>
      </c>
      <c r="AB62" s="3"/>
      <c r="AC62" s="20">
        <f t="shared" si="2"/>
        <v>15390846</v>
      </c>
      <c r="AD62" s="3"/>
      <c r="AE62" s="3">
        <f t="shared" si="1"/>
        <v>0</v>
      </c>
    </row>
    <row r="63" spans="1:31" s="13" customFormat="1">
      <c r="A63" s="3" t="s">
        <v>267</v>
      </c>
      <c r="C63" s="13" t="s">
        <v>204</v>
      </c>
      <c r="E63" s="3">
        <v>3507338</v>
      </c>
      <c r="F63" s="3"/>
      <c r="G63" s="3">
        <f>29217+358828</f>
        <v>388045</v>
      </c>
      <c r="H63" s="3"/>
      <c r="I63" s="7">
        <f t="shared" si="3"/>
        <v>2249464</v>
      </c>
      <c r="J63" s="3"/>
      <c r="K63" s="3">
        <v>6144847</v>
      </c>
      <c r="L63" s="3"/>
      <c r="M63" s="7">
        <f t="shared" si="0"/>
        <v>479662</v>
      </c>
      <c r="N63" s="3"/>
      <c r="O63" s="3">
        <v>2107432</v>
      </c>
      <c r="P63" s="3"/>
      <c r="Q63" s="3">
        <v>2587094</v>
      </c>
      <c r="R63" s="3"/>
      <c r="S63" s="3">
        <v>19143</v>
      </c>
      <c r="T63" s="3"/>
      <c r="U63" s="3">
        <v>76925</v>
      </c>
      <c r="V63" s="3"/>
      <c r="W63" s="3">
        <v>16663</v>
      </c>
      <c r="X63" s="3"/>
      <c r="Y63" s="3">
        <v>128745</v>
      </c>
      <c r="Z63" s="3"/>
      <c r="AA63" s="3">
        <v>3316277</v>
      </c>
      <c r="AB63" s="3"/>
      <c r="AC63" s="20">
        <f t="shared" si="2"/>
        <v>3557753</v>
      </c>
      <c r="AD63" s="3"/>
      <c r="AE63" s="3">
        <f t="shared" si="1"/>
        <v>0</v>
      </c>
    </row>
    <row r="64" spans="1:31" s="13" customFormat="1">
      <c r="A64" s="3" t="s">
        <v>361</v>
      </c>
      <c r="C64" s="13" t="s">
        <v>205</v>
      </c>
      <c r="E64" s="3">
        <v>12009248</v>
      </c>
      <c r="F64" s="3"/>
      <c r="G64" s="3">
        <v>0</v>
      </c>
      <c r="H64" s="3"/>
      <c r="I64" s="7">
        <f t="shared" si="3"/>
        <v>5540979</v>
      </c>
      <c r="J64" s="3"/>
      <c r="K64" s="3">
        <v>17550227</v>
      </c>
      <c r="L64" s="3"/>
      <c r="M64" s="7">
        <f t="shared" si="0"/>
        <v>1254548</v>
      </c>
      <c r="N64" s="3"/>
      <c r="O64" s="3">
        <v>4824853</v>
      </c>
      <c r="P64" s="3"/>
      <c r="Q64" s="3">
        <v>6079401</v>
      </c>
      <c r="R64" s="3"/>
      <c r="S64" s="3">
        <v>0</v>
      </c>
      <c r="T64" s="3"/>
      <c r="U64" s="3">
        <v>4853971</v>
      </c>
      <c r="V64" s="3"/>
      <c r="W64" s="3">
        <v>0</v>
      </c>
      <c r="X64" s="3"/>
      <c r="Y64" s="3">
        <v>875235</v>
      </c>
      <c r="Z64" s="3"/>
      <c r="AA64" s="3">
        <v>5741620</v>
      </c>
      <c r="AB64" s="3"/>
      <c r="AC64" s="20">
        <f t="shared" si="2"/>
        <v>11470826</v>
      </c>
      <c r="AD64" s="3"/>
      <c r="AE64" s="3">
        <f t="shared" si="1"/>
        <v>0</v>
      </c>
    </row>
    <row r="65" spans="1:32" s="13" customFormat="1">
      <c r="A65" s="3"/>
      <c r="E65" s="3"/>
      <c r="F65" s="3"/>
      <c r="G65" s="3"/>
      <c r="H65" s="3"/>
      <c r="I65" s="7">
        <f t="shared" si="3"/>
        <v>0</v>
      </c>
      <c r="J65" s="3"/>
      <c r="K65" s="3"/>
      <c r="L65" s="3"/>
      <c r="M65" s="7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20"/>
      <c r="AD65" s="3"/>
      <c r="AE65" s="3"/>
    </row>
    <row r="66" spans="1:32" s="13" customFormat="1">
      <c r="A66" s="3"/>
      <c r="E66" s="3"/>
      <c r="F66" s="3"/>
      <c r="G66" s="3"/>
      <c r="H66" s="3"/>
      <c r="I66" s="7"/>
      <c r="J66" s="3"/>
      <c r="K66" s="3"/>
      <c r="L66" s="3"/>
      <c r="M66" s="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20" t="s">
        <v>257</v>
      </c>
      <c r="AD66" s="3"/>
      <c r="AE66" s="3"/>
    </row>
    <row r="67" spans="1:32" s="13" customFormat="1">
      <c r="A67" s="31" t="s">
        <v>256</v>
      </c>
      <c r="C67" s="3"/>
      <c r="E67" s="3"/>
      <c r="F67" s="3"/>
      <c r="G67" s="3"/>
      <c r="H67" s="3"/>
      <c r="I67" s="3"/>
      <c r="J67" s="3"/>
      <c r="K67" s="3"/>
      <c r="L67" s="3"/>
      <c r="M67" s="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20"/>
      <c r="AD67" s="3"/>
      <c r="AE67" s="3"/>
    </row>
    <row r="68" spans="1:32" s="13" customFormat="1">
      <c r="A68" s="31"/>
      <c r="C68" s="3"/>
      <c r="E68" s="3"/>
      <c r="F68" s="3"/>
      <c r="G68" s="3"/>
      <c r="H68" s="3"/>
      <c r="I68" s="3"/>
      <c r="J68" s="3"/>
      <c r="K68" s="3"/>
      <c r="L68" s="3"/>
      <c r="M68" s="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20"/>
      <c r="AD68" s="3"/>
      <c r="AE68" s="3"/>
    </row>
    <row r="69" spans="1:32" s="13" customFormat="1" ht="12.75" hidden="1" customHeight="1">
      <c r="A69" s="3" t="s">
        <v>333</v>
      </c>
      <c r="B69" s="3"/>
      <c r="C69" s="3" t="s">
        <v>263</v>
      </c>
      <c r="E69" s="3">
        <v>0</v>
      </c>
      <c r="F69" s="3"/>
      <c r="G69" s="3">
        <v>0</v>
      </c>
      <c r="H69" s="3"/>
      <c r="I69" s="7">
        <f>+K69-G69-E69</f>
        <v>0</v>
      </c>
      <c r="J69" s="3"/>
      <c r="K69" s="3">
        <v>0</v>
      </c>
      <c r="L69" s="3"/>
      <c r="M69" s="7">
        <f t="shared" si="0"/>
        <v>0</v>
      </c>
      <c r="N69" s="3"/>
      <c r="O69" s="3">
        <v>0</v>
      </c>
      <c r="P69" s="3"/>
      <c r="Q69" s="3">
        <v>0</v>
      </c>
      <c r="R69" s="3"/>
      <c r="S69" s="3">
        <v>0</v>
      </c>
      <c r="T69" s="3"/>
      <c r="U69" s="3">
        <v>0</v>
      </c>
      <c r="V69" s="3"/>
      <c r="W69" s="3">
        <v>0</v>
      </c>
      <c r="X69" s="3"/>
      <c r="Y69" s="3">
        <v>0</v>
      </c>
      <c r="Z69" s="3"/>
      <c r="AA69" s="3">
        <v>0</v>
      </c>
      <c r="AB69" s="3"/>
      <c r="AC69" s="20">
        <f>+Y69+W69+S69+U69</f>
        <v>0</v>
      </c>
      <c r="AD69" s="3"/>
      <c r="AE69" s="3">
        <f t="shared" ref="AE69:AE130" si="4">+E69+G69+I69-M69-O69-Y69-W69-S69-U69-AA69</f>
        <v>0</v>
      </c>
    </row>
    <row r="70" spans="1:32" s="13" customFormat="1" hidden="1">
      <c r="A70" s="3" t="s">
        <v>334</v>
      </c>
      <c r="B70" s="3"/>
      <c r="C70" s="3" t="s">
        <v>146</v>
      </c>
      <c r="E70" s="3">
        <v>0</v>
      </c>
      <c r="F70" s="3"/>
      <c r="G70" s="3">
        <v>0</v>
      </c>
      <c r="H70" s="3"/>
      <c r="I70" s="7">
        <f>+K70-G70-E70</f>
        <v>0</v>
      </c>
      <c r="J70" s="3"/>
      <c r="K70" s="3">
        <v>0</v>
      </c>
      <c r="L70" s="3"/>
      <c r="M70" s="7">
        <f t="shared" si="0"/>
        <v>0</v>
      </c>
      <c r="N70" s="3"/>
      <c r="O70" s="3">
        <v>0</v>
      </c>
      <c r="P70" s="3"/>
      <c r="Q70" s="3">
        <v>0</v>
      </c>
      <c r="R70" s="3"/>
      <c r="S70" s="3">
        <v>0</v>
      </c>
      <c r="T70" s="3"/>
      <c r="U70" s="3">
        <v>0</v>
      </c>
      <c r="V70" s="3"/>
      <c r="W70" s="3">
        <v>0</v>
      </c>
      <c r="X70" s="3"/>
      <c r="Y70" s="3">
        <v>0</v>
      </c>
      <c r="Z70" s="3"/>
      <c r="AA70" s="3">
        <v>0</v>
      </c>
      <c r="AB70" s="3"/>
      <c r="AC70" s="20">
        <f t="shared" ref="AC70:AC130" si="5">+Y70+W70+S70+U70+AA70</f>
        <v>0</v>
      </c>
      <c r="AE70" s="3">
        <f t="shared" si="4"/>
        <v>0</v>
      </c>
    </row>
    <row r="71" spans="1:32" s="13" customFormat="1">
      <c r="A71" s="3" t="s">
        <v>150</v>
      </c>
      <c r="C71" s="13" t="s">
        <v>147</v>
      </c>
      <c r="E71" s="17">
        <v>1123561</v>
      </c>
      <c r="F71" s="17"/>
      <c r="G71" s="17">
        <v>0</v>
      </c>
      <c r="H71" s="17"/>
      <c r="I71" s="64">
        <f>+K71-G71-E71</f>
        <v>1271186</v>
      </c>
      <c r="J71" s="17"/>
      <c r="K71" s="17">
        <v>2394747</v>
      </c>
      <c r="L71" s="17"/>
      <c r="M71" s="64">
        <f t="shared" si="0"/>
        <v>1285586</v>
      </c>
      <c r="N71" s="17"/>
      <c r="O71" s="17">
        <v>278815</v>
      </c>
      <c r="P71" s="17"/>
      <c r="Q71" s="17">
        <v>1564401</v>
      </c>
      <c r="R71" s="17"/>
      <c r="S71" s="17">
        <v>0</v>
      </c>
      <c r="T71" s="17"/>
      <c r="U71" s="17">
        <v>526962</v>
      </c>
      <c r="V71" s="17"/>
      <c r="W71" s="17">
        <v>0</v>
      </c>
      <c r="X71" s="17"/>
      <c r="Y71" s="17">
        <v>139285</v>
      </c>
      <c r="Z71" s="17"/>
      <c r="AA71" s="17">
        <v>164099</v>
      </c>
      <c r="AB71" s="17"/>
      <c r="AC71" s="65">
        <f t="shared" si="5"/>
        <v>830346</v>
      </c>
      <c r="AD71" s="3"/>
      <c r="AE71" s="3">
        <f t="shared" si="4"/>
        <v>0</v>
      </c>
    </row>
    <row r="72" spans="1:32" s="13" customFormat="1" hidden="1">
      <c r="A72" s="3" t="s">
        <v>335</v>
      </c>
      <c r="B72" s="3"/>
      <c r="C72" s="3" t="s">
        <v>264</v>
      </c>
      <c r="E72" s="3">
        <v>0</v>
      </c>
      <c r="F72" s="3"/>
      <c r="G72" s="3">
        <v>0</v>
      </c>
      <c r="H72" s="3"/>
      <c r="I72" s="7">
        <f>+K72-G72-E72</f>
        <v>0</v>
      </c>
      <c r="J72" s="3"/>
      <c r="K72" s="3">
        <v>0</v>
      </c>
      <c r="L72" s="3"/>
      <c r="M72" s="7">
        <f t="shared" si="0"/>
        <v>0</v>
      </c>
      <c r="N72" s="3"/>
      <c r="O72" s="3">
        <v>0</v>
      </c>
      <c r="P72" s="3"/>
      <c r="Q72" s="3">
        <v>0</v>
      </c>
      <c r="R72" s="3"/>
      <c r="S72" s="3">
        <v>0</v>
      </c>
      <c r="T72" s="3"/>
      <c r="U72" s="3">
        <v>0</v>
      </c>
      <c r="V72" s="3"/>
      <c r="W72" s="3">
        <v>0</v>
      </c>
      <c r="X72" s="3"/>
      <c r="Y72" s="3">
        <v>0</v>
      </c>
      <c r="Z72" s="3"/>
      <c r="AA72" s="3">
        <v>0</v>
      </c>
      <c r="AB72" s="3"/>
      <c r="AC72" s="20">
        <f t="shared" si="5"/>
        <v>0</v>
      </c>
      <c r="AE72" s="3">
        <f t="shared" si="4"/>
        <v>0</v>
      </c>
      <c r="AF72" s="24"/>
    </row>
    <row r="73" spans="1:32">
      <c r="A73" s="13" t="s">
        <v>291</v>
      </c>
      <c r="B73" s="13"/>
      <c r="C73" s="13" t="s">
        <v>152</v>
      </c>
      <c r="E73" s="3">
        <v>2010530</v>
      </c>
      <c r="F73" s="3"/>
      <c r="G73" s="3">
        <v>0</v>
      </c>
      <c r="H73" s="3"/>
      <c r="I73" s="7">
        <f>+K73-G73-E73</f>
        <v>151689</v>
      </c>
      <c r="J73" s="3"/>
      <c r="K73" s="3">
        <v>2162219</v>
      </c>
      <c r="L73" s="3"/>
      <c r="M73" s="7">
        <f t="shared" si="0"/>
        <v>531690</v>
      </c>
      <c r="N73" s="3"/>
      <c r="O73" s="3">
        <v>11358</v>
      </c>
      <c r="P73" s="3"/>
      <c r="Q73" s="3">
        <v>543048</v>
      </c>
      <c r="R73" s="3"/>
      <c r="S73" s="3">
        <v>105987</v>
      </c>
      <c r="T73" s="3"/>
      <c r="U73" s="3">
        <v>0</v>
      </c>
      <c r="V73" s="3"/>
      <c r="W73" s="3">
        <v>16000</v>
      </c>
      <c r="X73" s="3"/>
      <c r="Y73" s="3">
        <v>15421</v>
      </c>
      <c r="Z73" s="3"/>
      <c r="AA73" s="3">
        <v>1481763</v>
      </c>
      <c r="AB73" s="3"/>
      <c r="AC73" s="20">
        <f t="shared" si="5"/>
        <v>1619171</v>
      </c>
      <c r="AD73" s="13"/>
      <c r="AE73" s="55">
        <f t="shared" si="4"/>
        <v>0</v>
      </c>
    </row>
    <row r="74" spans="1:32" s="13" customFormat="1">
      <c r="A74" s="13" t="s">
        <v>292</v>
      </c>
      <c r="C74" s="13" t="s">
        <v>149</v>
      </c>
      <c r="E74" s="3">
        <v>1612032</v>
      </c>
      <c r="F74" s="3"/>
      <c r="G74" s="3">
        <v>0</v>
      </c>
      <c r="H74" s="3"/>
      <c r="I74" s="7">
        <f t="shared" ref="I74:I130" si="6">+K74-G74-E74</f>
        <v>4237247</v>
      </c>
      <c r="J74" s="3"/>
      <c r="K74" s="3">
        <v>5849279</v>
      </c>
      <c r="L74" s="3"/>
      <c r="M74" s="7">
        <f t="shared" si="0"/>
        <v>1408869</v>
      </c>
      <c r="N74" s="3"/>
      <c r="O74" s="3">
        <v>2998513</v>
      </c>
      <c r="P74" s="3"/>
      <c r="Q74" s="3">
        <v>4407382</v>
      </c>
      <c r="R74" s="3"/>
      <c r="S74" s="3">
        <v>0</v>
      </c>
      <c r="T74" s="3"/>
      <c r="U74" s="3">
        <v>474868</v>
      </c>
      <c r="V74" s="3"/>
      <c r="W74" s="3">
        <v>0</v>
      </c>
      <c r="X74" s="3"/>
      <c r="Y74" s="3">
        <v>226798</v>
      </c>
      <c r="Z74" s="3"/>
      <c r="AA74" s="3">
        <v>740231</v>
      </c>
      <c r="AB74" s="3"/>
      <c r="AC74" s="20">
        <f t="shared" si="5"/>
        <v>1441897</v>
      </c>
      <c r="AE74" s="3">
        <f t="shared" si="4"/>
        <v>0</v>
      </c>
    </row>
    <row r="75" spans="1:32" s="13" customFormat="1">
      <c r="A75" s="13" t="s">
        <v>293</v>
      </c>
      <c r="C75" s="13" t="s">
        <v>154</v>
      </c>
      <c r="E75" s="3">
        <v>1951719</v>
      </c>
      <c r="F75" s="3"/>
      <c r="G75" s="3">
        <v>433043</v>
      </c>
      <c r="H75" s="3"/>
      <c r="I75" s="7">
        <f t="shared" si="6"/>
        <v>284542</v>
      </c>
      <c r="J75" s="3"/>
      <c r="K75" s="3">
        <v>2669304</v>
      </c>
      <c r="L75" s="3"/>
      <c r="M75" s="7">
        <f t="shared" si="0"/>
        <v>745726</v>
      </c>
      <c r="N75" s="3"/>
      <c r="O75" s="3">
        <v>4884</v>
      </c>
      <c r="P75" s="3"/>
      <c r="Q75" s="3">
        <v>750610</v>
      </c>
      <c r="R75" s="3"/>
      <c r="S75" s="3">
        <v>0</v>
      </c>
      <c r="T75" s="3"/>
      <c r="U75" s="3">
        <f>90298+43790+433043</f>
        <v>567131</v>
      </c>
      <c r="V75" s="3"/>
      <c r="W75" s="3">
        <v>0</v>
      </c>
      <c r="X75" s="3"/>
      <c r="Y75" s="3">
        <f>129510+273000+44102</f>
        <v>446612</v>
      </c>
      <c r="Z75" s="3"/>
      <c r="AA75" s="3">
        <v>904951</v>
      </c>
      <c r="AB75" s="3"/>
      <c r="AC75" s="20">
        <f t="shared" si="5"/>
        <v>1918694</v>
      </c>
      <c r="AE75" s="3">
        <f t="shared" si="4"/>
        <v>0</v>
      </c>
    </row>
    <row r="76" spans="1:32" s="13" customFormat="1">
      <c r="A76" s="3" t="s">
        <v>155</v>
      </c>
      <c r="C76" s="13" t="s">
        <v>156</v>
      </c>
      <c r="E76" s="3">
        <v>5539458</v>
      </c>
      <c r="F76" s="3"/>
      <c r="G76" s="3">
        <v>0</v>
      </c>
      <c r="H76" s="3"/>
      <c r="I76" s="7">
        <f t="shared" si="6"/>
        <v>1134042</v>
      </c>
      <c r="J76" s="3"/>
      <c r="K76" s="3">
        <v>6673500</v>
      </c>
      <c r="L76" s="3"/>
      <c r="M76" s="7">
        <f t="shared" si="0"/>
        <v>1937501</v>
      </c>
      <c r="N76" s="3"/>
      <c r="O76" s="3">
        <v>118299</v>
      </c>
      <c r="P76" s="3"/>
      <c r="Q76" s="3">
        <v>2055800</v>
      </c>
      <c r="R76" s="3"/>
      <c r="S76" s="3">
        <v>0</v>
      </c>
      <c r="T76" s="3"/>
      <c r="U76" s="3">
        <v>12196</v>
      </c>
      <c r="V76" s="3"/>
      <c r="W76" s="3">
        <v>0</v>
      </c>
      <c r="X76" s="3"/>
      <c r="Y76" s="3">
        <v>46564</v>
      </c>
      <c r="Z76" s="3"/>
      <c r="AA76" s="3">
        <v>4558940</v>
      </c>
      <c r="AB76" s="3"/>
      <c r="AC76" s="20">
        <f t="shared" si="5"/>
        <v>4617700</v>
      </c>
      <c r="AE76" s="3">
        <f t="shared" si="4"/>
        <v>0</v>
      </c>
    </row>
    <row r="77" spans="1:32" s="13" customFormat="1" hidden="1">
      <c r="A77" s="13" t="s">
        <v>281</v>
      </c>
      <c r="C77" s="13" t="s">
        <v>157</v>
      </c>
      <c r="E77" s="3">
        <v>0</v>
      </c>
      <c r="F77" s="3"/>
      <c r="G77" s="3">
        <v>0</v>
      </c>
      <c r="H77" s="3"/>
      <c r="I77" s="7">
        <f t="shared" si="6"/>
        <v>0</v>
      </c>
      <c r="J77" s="3"/>
      <c r="K77" s="3">
        <v>0</v>
      </c>
      <c r="L77" s="3"/>
      <c r="M77" s="7">
        <f t="shared" si="0"/>
        <v>0</v>
      </c>
      <c r="N77" s="3"/>
      <c r="O77" s="3">
        <v>0</v>
      </c>
      <c r="P77" s="3"/>
      <c r="Q77" s="3">
        <v>0</v>
      </c>
      <c r="R77" s="3"/>
      <c r="S77" s="3">
        <v>0</v>
      </c>
      <c r="T77" s="3"/>
      <c r="U77" s="3">
        <v>0</v>
      </c>
      <c r="V77" s="3"/>
      <c r="W77" s="3">
        <v>0</v>
      </c>
      <c r="X77" s="3"/>
      <c r="Y77" s="3">
        <v>0</v>
      </c>
      <c r="Z77" s="3"/>
      <c r="AA77" s="3">
        <v>0</v>
      </c>
      <c r="AB77" s="3"/>
      <c r="AC77" s="20">
        <f t="shared" si="5"/>
        <v>0</v>
      </c>
      <c r="AE77" s="3">
        <f t="shared" si="4"/>
        <v>0</v>
      </c>
    </row>
    <row r="78" spans="1:32" s="13" customFormat="1">
      <c r="A78" s="13" t="s">
        <v>310</v>
      </c>
      <c r="C78" s="13" t="s">
        <v>158</v>
      </c>
      <c r="E78" s="3">
        <v>1031709</v>
      </c>
      <c r="F78" s="3"/>
      <c r="G78" s="3">
        <v>0</v>
      </c>
      <c r="H78" s="3"/>
      <c r="I78" s="7">
        <f t="shared" si="6"/>
        <v>395060</v>
      </c>
      <c r="J78" s="3"/>
      <c r="K78" s="3">
        <v>1426769</v>
      </c>
      <c r="L78" s="3"/>
      <c r="M78" s="7">
        <f t="shared" si="0"/>
        <v>863634</v>
      </c>
      <c r="N78" s="3"/>
      <c r="O78" s="3">
        <f>117773+125</f>
        <v>117898</v>
      </c>
      <c r="P78" s="3"/>
      <c r="Q78" s="3">
        <v>981532</v>
      </c>
      <c r="R78" s="3"/>
      <c r="S78" s="3">
        <f>1203+2622</f>
        <v>3825</v>
      </c>
      <c r="T78" s="3"/>
      <c r="U78" s="3">
        <v>1236</v>
      </c>
      <c r="V78" s="3"/>
      <c r="W78" s="3">
        <v>0</v>
      </c>
      <c r="X78" s="3"/>
      <c r="Y78" s="3">
        <f>11107+186598+911</f>
        <v>198616</v>
      </c>
      <c r="Z78" s="3"/>
      <c r="AA78" s="3">
        <v>241560</v>
      </c>
      <c r="AB78" s="3"/>
      <c r="AC78" s="20">
        <f t="shared" si="5"/>
        <v>445237</v>
      </c>
      <c r="AE78" s="3">
        <f t="shared" si="4"/>
        <v>0</v>
      </c>
    </row>
    <row r="79" spans="1:32" s="13" customFormat="1">
      <c r="A79" s="3" t="s">
        <v>312</v>
      </c>
      <c r="C79" s="13" t="s">
        <v>159</v>
      </c>
      <c r="E79" s="3">
        <v>21606420</v>
      </c>
      <c r="F79" s="3"/>
      <c r="G79" s="3">
        <v>70923</v>
      </c>
      <c r="H79" s="3"/>
      <c r="I79" s="7">
        <f t="shared" si="6"/>
        <v>10773689</v>
      </c>
      <c r="J79" s="3"/>
      <c r="K79" s="3">
        <v>32451032</v>
      </c>
      <c r="L79" s="3"/>
      <c r="M79" s="7">
        <f t="shared" si="0"/>
        <v>11097987</v>
      </c>
      <c r="N79" s="3"/>
      <c r="O79" s="3">
        <v>2537652</v>
      </c>
      <c r="P79" s="3"/>
      <c r="Q79" s="3">
        <v>13635639</v>
      </c>
      <c r="R79" s="3"/>
      <c r="S79" s="3">
        <v>70923</v>
      </c>
      <c r="T79" s="3"/>
      <c r="U79" s="3">
        <v>103072</v>
      </c>
      <c r="V79" s="3"/>
      <c r="W79" s="3">
        <v>0</v>
      </c>
      <c r="X79" s="3"/>
      <c r="Y79" s="3">
        <v>6071866</v>
      </c>
      <c r="Z79" s="3"/>
      <c r="AA79" s="3">
        <v>12569532</v>
      </c>
      <c r="AB79" s="3"/>
      <c r="AC79" s="20">
        <f t="shared" si="5"/>
        <v>18815393</v>
      </c>
      <c r="AE79" s="3">
        <f t="shared" si="4"/>
        <v>0</v>
      </c>
    </row>
    <row r="80" spans="1:32" s="13" customFormat="1" hidden="1">
      <c r="A80" s="3" t="s">
        <v>315</v>
      </c>
      <c r="C80" s="13" t="s">
        <v>160</v>
      </c>
      <c r="E80" s="3">
        <v>0</v>
      </c>
      <c r="F80" s="3"/>
      <c r="G80" s="3">
        <v>0</v>
      </c>
      <c r="H80" s="3"/>
      <c r="I80" s="7">
        <f t="shared" si="6"/>
        <v>0</v>
      </c>
      <c r="J80" s="3"/>
      <c r="K80" s="3">
        <v>0</v>
      </c>
      <c r="L80" s="3"/>
      <c r="M80" s="7">
        <f t="shared" si="0"/>
        <v>0</v>
      </c>
      <c r="N80" s="3"/>
      <c r="O80" s="3">
        <v>0</v>
      </c>
      <c r="P80" s="3"/>
      <c r="Q80" s="3">
        <v>0</v>
      </c>
      <c r="R80" s="3"/>
      <c r="S80" s="3">
        <v>0</v>
      </c>
      <c r="T80" s="3"/>
      <c r="U80" s="3">
        <v>0</v>
      </c>
      <c r="V80" s="3"/>
      <c r="W80" s="3">
        <v>0</v>
      </c>
      <c r="X80" s="3"/>
      <c r="Y80" s="3">
        <v>0</v>
      </c>
      <c r="Z80" s="3"/>
      <c r="AA80" s="3">
        <v>0</v>
      </c>
      <c r="AB80" s="3"/>
      <c r="AC80" s="20">
        <f t="shared" si="5"/>
        <v>0</v>
      </c>
      <c r="AE80" s="3">
        <f t="shared" si="4"/>
        <v>0</v>
      </c>
    </row>
    <row r="81" spans="1:31" s="13" customFormat="1" hidden="1">
      <c r="A81" s="3" t="s">
        <v>311</v>
      </c>
      <c r="C81" s="13" t="s">
        <v>161</v>
      </c>
      <c r="E81" s="3">
        <v>0</v>
      </c>
      <c r="F81" s="3"/>
      <c r="G81" s="3">
        <v>0</v>
      </c>
      <c r="H81" s="3"/>
      <c r="I81" s="7">
        <f t="shared" si="6"/>
        <v>0</v>
      </c>
      <c r="J81" s="3"/>
      <c r="K81" s="3">
        <v>0</v>
      </c>
      <c r="L81" s="3"/>
      <c r="M81" s="7">
        <f t="shared" ref="M81:M130" si="7">+Q81-O81</f>
        <v>0</v>
      </c>
      <c r="N81" s="3"/>
      <c r="O81" s="3">
        <v>0</v>
      </c>
      <c r="P81" s="3"/>
      <c r="Q81" s="3">
        <v>0</v>
      </c>
      <c r="R81" s="3"/>
      <c r="S81" s="3">
        <v>0</v>
      </c>
      <c r="T81" s="3"/>
      <c r="U81" s="3">
        <v>0</v>
      </c>
      <c r="V81" s="3"/>
      <c r="W81" s="3">
        <v>0</v>
      </c>
      <c r="X81" s="3"/>
      <c r="Y81" s="3">
        <v>0</v>
      </c>
      <c r="Z81" s="3"/>
      <c r="AA81" s="3">
        <v>0</v>
      </c>
      <c r="AB81" s="3"/>
      <c r="AC81" s="20">
        <f t="shared" si="5"/>
        <v>0</v>
      </c>
      <c r="AE81" s="3">
        <f t="shared" si="4"/>
        <v>0</v>
      </c>
    </row>
    <row r="82" spans="1:31" s="13" customFormat="1">
      <c r="A82" s="3" t="s">
        <v>309</v>
      </c>
      <c r="C82" s="13" t="s">
        <v>200</v>
      </c>
      <c r="E82" s="3">
        <v>1728136</v>
      </c>
      <c r="F82" s="3"/>
      <c r="G82" s="3">
        <v>0</v>
      </c>
      <c r="H82" s="3"/>
      <c r="I82" s="7">
        <f t="shared" si="6"/>
        <v>620629</v>
      </c>
      <c r="J82" s="3"/>
      <c r="K82" s="3">
        <v>2348765</v>
      </c>
      <c r="L82" s="3"/>
      <c r="M82" s="7">
        <f t="shared" si="7"/>
        <v>910702</v>
      </c>
      <c r="N82" s="3"/>
      <c r="O82" s="3">
        <v>381627</v>
      </c>
      <c r="P82" s="3"/>
      <c r="Q82" s="3">
        <v>1292329</v>
      </c>
      <c r="R82" s="3"/>
      <c r="S82" s="3">
        <v>0</v>
      </c>
      <c r="T82" s="3"/>
      <c r="U82" s="3">
        <v>24962</v>
      </c>
      <c r="V82" s="3"/>
      <c r="W82" s="3">
        <v>0</v>
      </c>
      <c r="X82" s="3"/>
      <c r="Y82" s="3">
        <v>0</v>
      </c>
      <c r="Z82" s="3"/>
      <c r="AA82" s="3">
        <v>1031474</v>
      </c>
      <c r="AB82" s="3"/>
      <c r="AC82" s="20">
        <f t="shared" ref="AC82" si="8">+Y82+W82+S82+U82+AA82</f>
        <v>1056436</v>
      </c>
      <c r="AE82" s="3">
        <f t="shared" ref="AE82" si="9">+E82+G82+I82-M82-O82-Y82-W82-S82-U82-AA82</f>
        <v>0</v>
      </c>
    </row>
    <row r="83" spans="1:31" s="13" customFormat="1">
      <c r="A83" s="3" t="s">
        <v>318</v>
      </c>
      <c r="C83" s="13" t="s">
        <v>164</v>
      </c>
      <c r="E83" s="3">
        <v>12179666</v>
      </c>
      <c r="F83" s="3"/>
      <c r="G83" s="3">
        <v>0</v>
      </c>
      <c r="H83" s="3"/>
      <c r="I83" s="7">
        <f>+K83-G83-E83</f>
        <v>7762779</v>
      </c>
      <c r="J83" s="3"/>
      <c r="K83" s="3">
        <v>19942445</v>
      </c>
      <c r="L83" s="3"/>
      <c r="M83" s="7">
        <f>+Q83-O83</f>
        <v>4865818</v>
      </c>
      <c r="N83" s="3"/>
      <c r="O83" s="3">
        <f>1014910+1604696</f>
        <v>2619606</v>
      </c>
      <c r="P83" s="3"/>
      <c r="Q83" s="3">
        <v>7485424</v>
      </c>
      <c r="R83" s="3"/>
      <c r="S83" s="3">
        <f>64775+4889</f>
        <v>69664</v>
      </c>
      <c r="T83" s="3"/>
      <c r="U83" s="3">
        <f>87068+205+389196</f>
        <v>476469</v>
      </c>
      <c r="V83" s="3"/>
      <c r="W83" s="3">
        <v>237631</v>
      </c>
      <c r="X83" s="3"/>
      <c r="Y83" s="3">
        <f>66924+756542</f>
        <v>823466</v>
      </c>
      <c r="Z83" s="3"/>
      <c r="AA83" s="3">
        <v>10849791</v>
      </c>
      <c r="AB83" s="3"/>
      <c r="AC83" s="20">
        <f>+Y83+W83+S83+U83+AA83</f>
        <v>12457021</v>
      </c>
      <c r="AE83" s="3">
        <f>+E83+G83+I83-M83-O83-Y83-W83-S83-U83-AA83</f>
        <v>0</v>
      </c>
    </row>
    <row r="84" spans="1:31" s="13" customFormat="1" hidden="1">
      <c r="A84" s="13" t="s">
        <v>279</v>
      </c>
      <c r="C84" s="13" t="s">
        <v>162</v>
      </c>
      <c r="E84" s="3">
        <v>0</v>
      </c>
      <c r="F84" s="3"/>
      <c r="G84" s="3">
        <v>0</v>
      </c>
      <c r="H84" s="3"/>
      <c r="I84" s="7">
        <f t="shared" si="6"/>
        <v>0</v>
      </c>
      <c r="J84" s="3"/>
      <c r="K84" s="3">
        <v>0</v>
      </c>
      <c r="L84" s="3"/>
      <c r="M84" s="7">
        <f t="shared" si="7"/>
        <v>0</v>
      </c>
      <c r="N84" s="3"/>
      <c r="O84" s="3">
        <v>0</v>
      </c>
      <c r="P84" s="3"/>
      <c r="Q84" s="3">
        <v>0</v>
      </c>
      <c r="R84" s="3"/>
      <c r="S84" s="3">
        <v>0</v>
      </c>
      <c r="T84" s="3"/>
      <c r="U84" s="3">
        <v>0</v>
      </c>
      <c r="V84" s="3"/>
      <c r="W84" s="3">
        <v>0</v>
      </c>
      <c r="X84" s="3"/>
      <c r="Y84" s="3">
        <v>0</v>
      </c>
      <c r="Z84" s="3"/>
      <c r="AA84" s="3">
        <v>0</v>
      </c>
      <c r="AB84" s="3"/>
      <c r="AC84" s="20">
        <f t="shared" si="5"/>
        <v>0</v>
      </c>
      <c r="AE84" s="3">
        <f t="shared" si="4"/>
        <v>0</v>
      </c>
    </row>
    <row r="85" spans="1:31" s="13" customFormat="1">
      <c r="A85" s="3" t="s">
        <v>320</v>
      </c>
      <c r="C85" s="13" t="s">
        <v>163</v>
      </c>
      <c r="E85" s="3">
        <v>1815164</v>
      </c>
      <c r="F85" s="3"/>
      <c r="G85" s="3">
        <v>0</v>
      </c>
      <c r="H85" s="3"/>
      <c r="I85" s="7">
        <f t="shared" si="6"/>
        <v>698641</v>
      </c>
      <c r="J85" s="3"/>
      <c r="K85" s="3">
        <v>2513805</v>
      </c>
      <c r="L85" s="3"/>
      <c r="M85" s="7">
        <f t="shared" si="7"/>
        <v>1058071</v>
      </c>
      <c r="N85" s="3"/>
      <c r="O85" s="3">
        <v>0</v>
      </c>
      <c r="P85" s="3"/>
      <c r="Q85" s="3">
        <v>1058071</v>
      </c>
      <c r="R85" s="3"/>
      <c r="S85" s="3">
        <v>5124</v>
      </c>
      <c r="T85" s="3"/>
      <c r="U85" s="3">
        <v>3050</v>
      </c>
      <c r="V85" s="3"/>
      <c r="W85" s="3">
        <v>0</v>
      </c>
      <c r="X85" s="3"/>
      <c r="Y85" s="3">
        <v>423453</v>
      </c>
      <c r="Z85" s="3"/>
      <c r="AA85" s="3">
        <v>1024107</v>
      </c>
      <c r="AB85" s="3"/>
      <c r="AC85" s="20">
        <f t="shared" si="5"/>
        <v>1455734</v>
      </c>
      <c r="AE85" s="3">
        <f t="shared" si="4"/>
        <v>0</v>
      </c>
    </row>
    <row r="86" spans="1:31" s="13" customFormat="1">
      <c r="A86" s="3" t="s">
        <v>166</v>
      </c>
      <c r="C86" s="13" t="s">
        <v>167</v>
      </c>
      <c r="E86" s="3">
        <v>1091381</v>
      </c>
      <c r="F86" s="3"/>
      <c r="G86" s="3">
        <v>0</v>
      </c>
      <c r="H86" s="3"/>
      <c r="I86" s="7">
        <f t="shared" si="6"/>
        <v>96725</v>
      </c>
      <c r="J86" s="3"/>
      <c r="K86" s="3">
        <v>1188106</v>
      </c>
      <c r="L86" s="3"/>
      <c r="M86" s="7">
        <f t="shared" si="7"/>
        <v>113827</v>
      </c>
      <c r="N86" s="3"/>
      <c r="O86" s="3">
        <v>0</v>
      </c>
      <c r="P86" s="3"/>
      <c r="Q86" s="3">
        <v>113827</v>
      </c>
      <c r="R86" s="3"/>
      <c r="S86" s="3">
        <v>0</v>
      </c>
      <c r="T86" s="3"/>
      <c r="U86" s="3">
        <v>27148</v>
      </c>
      <c r="V86" s="3"/>
      <c r="W86" s="3">
        <v>0</v>
      </c>
      <c r="X86" s="3"/>
      <c r="Y86" s="3">
        <v>0</v>
      </c>
      <c r="Z86" s="3"/>
      <c r="AA86" s="3">
        <v>1047131</v>
      </c>
      <c r="AB86" s="3"/>
      <c r="AC86" s="20">
        <f t="shared" si="5"/>
        <v>1074279</v>
      </c>
      <c r="AE86" s="3">
        <f t="shared" si="4"/>
        <v>0</v>
      </c>
    </row>
    <row r="87" spans="1:31" s="13" customFormat="1">
      <c r="A87" s="61" t="s">
        <v>319</v>
      </c>
      <c r="C87" s="13" t="s">
        <v>168</v>
      </c>
      <c r="E87" s="3">
        <v>2121092</v>
      </c>
      <c r="F87" s="3"/>
      <c r="G87" s="3">
        <v>0</v>
      </c>
      <c r="H87" s="3"/>
      <c r="I87" s="7">
        <f t="shared" si="6"/>
        <v>317343</v>
      </c>
      <c r="J87" s="3"/>
      <c r="K87" s="3">
        <v>2438435</v>
      </c>
      <c r="L87" s="3"/>
      <c r="M87" s="7">
        <f t="shared" si="7"/>
        <v>1107648</v>
      </c>
      <c r="N87" s="3"/>
      <c r="O87" s="3">
        <v>61946</v>
      </c>
      <c r="P87" s="3"/>
      <c r="Q87" s="3">
        <v>1169594</v>
      </c>
      <c r="R87" s="3"/>
      <c r="S87" s="3">
        <v>0</v>
      </c>
      <c r="T87" s="3"/>
      <c r="U87" s="3">
        <v>69720</v>
      </c>
      <c r="V87" s="3"/>
      <c r="W87" s="3">
        <v>0</v>
      </c>
      <c r="X87" s="3"/>
      <c r="Y87" s="3">
        <v>10051</v>
      </c>
      <c r="Z87" s="3"/>
      <c r="AA87" s="3">
        <v>1189070</v>
      </c>
      <c r="AB87" s="3"/>
      <c r="AC87" s="20">
        <f t="shared" si="5"/>
        <v>1268841</v>
      </c>
      <c r="AE87" s="3">
        <f t="shared" si="4"/>
        <v>0</v>
      </c>
    </row>
    <row r="88" spans="1:31" s="13" customFormat="1">
      <c r="A88" s="13" t="s">
        <v>296</v>
      </c>
      <c r="C88" s="13" t="s">
        <v>169</v>
      </c>
      <c r="E88" s="3">
        <v>2994159</v>
      </c>
      <c r="F88" s="3"/>
      <c r="G88" s="3">
        <v>0</v>
      </c>
      <c r="H88" s="3"/>
      <c r="I88" s="7">
        <f t="shared" si="6"/>
        <v>267364</v>
      </c>
      <c r="J88" s="3"/>
      <c r="K88" s="3">
        <v>3261523</v>
      </c>
      <c r="L88" s="3"/>
      <c r="M88" s="7">
        <f t="shared" si="7"/>
        <v>1705528</v>
      </c>
      <c r="N88" s="3"/>
      <c r="O88" s="3">
        <v>91163</v>
      </c>
      <c r="P88" s="3"/>
      <c r="Q88" s="3">
        <v>1796691</v>
      </c>
      <c r="R88" s="3"/>
      <c r="S88" s="3">
        <v>7293</v>
      </c>
      <c r="T88" s="3"/>
      <c r="U88" s="3">
        <v>57901</v>
      </c>
      <c r="V88" s="3"/>
      <c r="W88" s="3">
        <v>0</v>
      </c>
      <c r="X88" s="3"/>
      <c r="Y88" s="3">
        <v>23338</v>
      </c>
      <c r="Z88" s="3"/>
      <c r="AA88" s="3">
        <v>1376300</v>
      </c>
      <c r="AB88" s="3"/>
      <c r="AC88" s="20">
        <f t="shared" si="5"/>
        <v>1464832</v>
      </c>
      <c r="AE88" s="3">
        <f t="shared" si="4"/>
        <v>0</v>
      </c>
    </row>
    <row r="89" spans="1:31" s="13" customFormat="1">
      <c r="A89" s="13" t="s">
        <v>297</v>
      </c>
      <c r="C89" s="13" t="s">
        <v>170</v>
      </c>
      <c r="E89" s="3">
        <v>11705694</v>
      </c>
      <c r="F89" s="3"/>
      <c r="G89" s="3">
        <v>0</v>
      </c>
      <c r="H89" s="3"/>
      <c r="I89" s="7">
        <f t="shared" si="6"/>
        <v>6681193</v>
      </c>
      <c r="J89" s="3"/>
      <c r="K89" s="3">
        <v>18386887</v>
      </c>
      <c r="L89" s="3"/>
      <c r="M89" s="7">
        <f t="shared" si="7"/>
        <v>6798649</v>
      </c>
      <c r="N89" s="3"/>
      <c r="O89" s="3">
        <v>1994309</v>
      </c>
      <c r="P89" s="3"/>
      <c r="Q89" s="3">
        <v>8792958</v>
      </c>
      <c r="R89" s="3"/>
      <c r="S89" s="3">
        <v>7653</v>
      </c>
      <c r="T89" s="3"/>
      <c r="U89" s="3">
        <v>2109243</v>
      </c>
      <c r="V89" s="3"/>
      <c r="W89" s="3">
        <v>300000</v>
      </c>
      <c r="X89" s="3"/>
      <c r="Y89" s="3">
        <v>1620496</v>
      </c>
      <c r="Z89" s="3"/>
      <c r="AA89" s="3">
        <v>5556537</v>
      </c>
      <c r="AB89" s="3"/>
      <c r="AC89" s="20">
        <f t="shared" si="5"/>
        <v>9593929</v>
      </c>
      <c r="AE89" s="3">
        <f t="shared" si="4"/>
        <v>0</v>
      </c>
    </row>
    <row r="90" spans="1:31" s="13" customFormat="1">
      <c r="A90" s="13" t="s">
        <v>298</v>
      </c>
      <c r="C90" s="13" t="s">
        <v>171</v>
      </c>
      <c r="E90" s="3">
        <v>1032810</v>
      </c>
      <c r="F90" s="3"/>
      <c r="G90" s="3">
        <v>1245</v>
      </c>
      <c r="H90" s="3"/>
      <c r="I90" s="7">
        <f t="shared" si="6"/>
        <v>36907</v>
      </c>
      <c r="J90" s="3"/>
      <c r="K90" s="3">
        <v>1070962</v>
      </c>
      <c r="L90" s="3"/>
      <c r="M90" s="7">
        <f t="shared" si="7"/>
        <v>669033</v>
      </c>
      <c r="N90" s="3"/>
      <c r="O90" s="3">
        <v>0</v>
      </c>
      <c r="P90" s="3"/>
      <c r="Q90" s="3">
        <v>669033</v>
      </c>
      <c r="R90" s="3"/>
      <c r="S90" s="3">
        <v>5996</v>
      </c>
      <c r="T90" s="3"/>
      <c r="U90" s="3">
        <v>11353</v>
      </c>
      <c r="V90" s="3"/>
      <c r="W90" s="3">
        <v>0</v>
      </c>
      <c r="X90" s="3"/>
      <c r="Y90" s="3">
        <v>12849</v>
      </c>
      <c r="Z90" s="3"/>
      <c r="AA90" s="3">
        <v>371731</v>
      </c>
      <c r="AB90" s="3"/>
      <c r="AC90" s="20">
        <f t="shared" si="5"/>
        <v>401929</v>
      </c>
      <c r="AE90" s="3">
        <f t="shared" si="4"/>
        <v>0</v>
      </c>
    </row>
    <row r="91" spans="1:31" s="13" customFormat="1" hidden="1">
      <c r="A91" s="13" t="s">
        <v>357</v>
      </c>
      <c r="C91" s="13" t="s">
        <v>21</v>
      </c>
      <c r="E91" s="3">
        <v>0</v>
      </c>
      <c r="F91" s="3"/>
      <c r="G91" s="3">
        <v>0</v>
      </c>
      <c r="H91" s="3"/>
      <c r="I91" s="7">
        <f t="shared" si="6"/>
        <v>0</v>
      </c>
      <c r="J91" s="3"/>
      <c r="K91" s="3">
        <v>0</v>
      </c>
      <c r="L91" s="3"/>
      <c r="M91" s="7">
        <f t="shared" si="7"/>
        <v>0</v>
      </c>
      <c r="N91" s="3"/>
      <c r="O91" s="3">
        <v>0</v>
      </c>
      <c r="P91" s="3"/>
      <c r="Q91" s="3">
        <v>0</v>
      </c>
      <c r="R91" s="3"/>
      <c r="S91" s="3">
        <v>0</v>
      </c>
      <c r="T91" s="3"/>
      <c r="U91" s="3">
        <v>0</v>
      </c>
      <c r="V91" s="3"/>
      <c r="W91" s="3">
        <v>0</v>
      </c>
      <c r="X91" s="3"/>
      <c r="Y91" s="3">
        <v>0</v>
      </c>
      <c r="Z91" s="3"/>
      <c r="AA91" s="3">
        <v>0</v>
      </c>
      <c r="AB91" s="3"/>
      <c r="AC91" s="20">
        <f t="shared" si="5"/>
        <v>0</v>
      </c>
      <c r="AE91" s="3">
        <f t="shared" si="4"/>
        <v>0</v>
      </c>
    </row>
    <row r="92" spans="1:31" s="13" customFormat="1">
      <c r="A92" s="13" t="s">
        <v>299</v>
      </c>
      <c r="C92" s="13" t="s">
        <v>172</v>
      </c>
      <c r="E92" s="3">
        <v>2863908</v>
      </c>
      <c r="F92" s="3"/>
      <c r="G92" s="3">
        <v>0</v>
      </c>
      <c r="H92" s="3"/>
      <c r="I92" s="7">
        <f t="shared" si="6"/>
        <v>148161</v>
      </c>
      <c r="J92" s="3"/>
      <c r="K92" s="3">
        <v>3012069</v>
      </c>
      <c r="L92" s="3"/>
      <c r="M92" s="7">
        <f t="shared" si="7"/>
        <v>522307</v>
      </c>
      <c r="N92" s="3"/>
      <c r="O92" s="3">
        <v>17176</v>
      </c>
      <c r="P92" s="3"/>
      <c r="Q92" s="3">
        <v>539483</v>
      </c>
      <c r="R92" s="3"/>
      <c r="S92" s="3">
        <f>1096+56106</f>
        <v>57202</v>
      </c>
      <c r="T92" s="3"/>
      <c r="U92" s="3">
        <v>1952</v>
      </c>
      <c r="V92" s="3"/>
      <c r="W92" s="3">
        <v>0</v>
      </c>
      <c r="X92" s="3"/>
      <c r="Y92" s="3">
        <f>231+2066+293</f>
        <v>2590</v>
      </c>
      <c r="Z92" s="3"/>
      <c r="AA92" s="3">
        <v>2410842</v>
      </c>
      <c r="AB92" s="3"/>
      <c r="AC92" s="20">
        <f t="shared" si="5"/>
        <v>2472586</v>
      </c>
      <c r="AE92" s="3">
        <f t="shared" si="4"/>
        <v>0</v>
      </c>
    </row>
    <row r="93" spans="1:31" s="13" customFormat="1">
      <c r="A93" s="13" t="s">
        <v>300</v>
      </c>
      <c r="C93" s="13" t="s">
        <v>173</v>
      </c>
      <c r="E93" s="3">
        <v>60277</v>
      </c>
      <c r="F93" s="3"/>
      <c r="G93" s="3">
        <v>0</v>
      </c>
      <c r="H93" s="3"/>
      <c r="I93" s="7">
        <f t="shared" si="6"/>
        <v>383776</v>
      </c>
      <c r="J93" s="3"/>
      <c r="K93" s="3">
        <v>444053</v>
      </c>
      <c r="L93" s="3"/>
      <c r="M93" s="7">
        <f t="shared" si="7"/>
        <v>486082</v>
      </c>
      <c r="N93" s="3"/>
      <c r="O93" s="3">
        <v>288118</v>
      </c>
      <c r="P93" s="3"/>
      <c r="Q93" s="3">
        <v>774200</v>
      </c>
      <c r="R93" s="3"/>
      <c r="S93" s="3">
        <v>0</v>
      </c>
      <c r="T93" s="3"/>
      <c r="U93" s="3">
        <v>61063</v>
      </c>
      <c r="V93" s="3"/>
      <c r="W93" s="3">
        <v>0</v>
      </c>
      <c r="X93" s="3"/>
      <c r="Y93" s="3">
        <v>0</v>
      </c>
      <c r="Z93" s="3"/>
      <c r="AA93" s="3">
        <v>-391210</v>
      </c>
      <c r="AB93" s="3"/>
      <c r="AC93" s="20">
        <f t="shared" si="5"/>
        <v>-330147</v>
      </c>
      <c r="AE93" s="3">
        <f t="shared" si="4"/>
        <v>0</v>
      </c>
    </row>
    <row r="94" spans="1:31" s="13" customFormat="1">
      <c r="A94" s="13" t="s">
        <v>301</v>
      </c>
      <c r="C94" s="13" t="s">
        <v>148</v>
      </c>
      <c r="E94" s="3">
        <v>1867318</v>
      </c>
      <c r="F94" s="3"/>
      <c r="G94" s="3">
        <v>3715</v>
      </c>
      <c r="H94" s="3"/>
      <c r="I94" s="7">
        <f t="shared" si="6"/>
        <v>6494573</v>
      </c>
      <c r="J94" s="3"/>
      <c r="K94" s="3">
        <v>8365606</v>
      </c>
      <c r="L94" s="3"/>
      <c r="M94" s="7">
        <f t="shared" si="7"/>
        <v>1562673</v>
      </c>
      <c r="N94" s="3"/>
      <c r="O94" s="3">
        <v>5148988</v>
      </c>
      <c r="P94" s="3"/>
      <c r="Q94" s="3">
        <v>6711661</v>
      </c>
      <c r="R94" s="3"/>
      <c r="S94" s="3">
        <v>3715</v>
      </c>
      <c r="T94" s="3"/>
      <c r="U94" s="3">
        <v>527641</v>
      </c>
      <c r="V94" s="3"/>
      <c r="W94" s="3">
        <v>0</v>
      </c>
      <c r="X94" s="3"/>
      <c r="Y94" s="3">
        <v>97751</v>
      </c>
      <c r="Z94" s="3"/>
      <c r="AA94" s="3">
        <v>1024838</v>
      </c>
      <c r="AB94" s="3"/>
      <c r="AC94" s="20">
        <f t="shared" si="5"/>
        <v>1653945</v>
      </c>
      <c r="AE94" s="3">
        <f t="shared" si="4"/>
        <v>0</v>
      </c>
    </row>
    <row r="95" spans="1:31" s="13" customFormat="1">
      <c r="A95" s="13" t="s">
        <v>302</v>
      </c>
      <c r="C95" s="13" t="s">
        <v>174</v>
      </c>
      <c r="E95" s="3">
        <v>986291</v>
      </c>
      <c r="F95" s="3"/>
      <c r="G95" s="3">
        <v>0</v>
      </c>
      <c r="H95" s="3"/>
      <c r="I95" s="7">
        <f t="shared" si="6"/>
        <v>129121</v>
      </c>
      <c r="J95" s="3"/>
      <c r="K95" s="3">
        <v>1115412</v>
      </c>
      <c r="L95" s="3"/>
      <c r="M95" s="7">
        <f t="shared" si="7"/>
        <v>162567</v>
      </c>
      <c r="N95" s="3"/>
      <c r="O95" s="3">
        <v>0</v>
      </c>
      <c r="P95" s="3"/>
      <c r="Q95" s="3">
        <v>162567</v>
      </c>
      <c r="R95" s="3"/>
      <c r="S95" s="3">
        <v>0</v>
      </c>
      <c r="T95" s="3"/>
      <c r="U95" s="3">
        <v>31716</v>
      </c>
      <c r="V95" s="3"/>
      <c r="W95" s="3">
        <v>0</v>
      </c>
      <c r="X95" s="3"/>
      <c r="Y95" s="3">
        <v>54146</v>
      </c>
      <c r="Z95" s="3"/>
      <c r="AA95" s="3">
        <v>866983</v>
      </c>
      <c r="AB95" s="3"/>
      <c r="AC95" s="20">
        <f t="shared" si="5"/>
        <v>952845</v>
      </c>
      <c r="AE95" s="3">
        <f t="shared" si="4"/>
        <v>0</v>
      </c>
    </row>
    <row r="96" spans="1:31" s="13" customFormat="1">
      <c r="A96" s="3" t="s">
        <v>303</v>
      </c>
      <c r="B96" s="3"/>
      <c r="C96" s="3" t="s">
        <v>175</v>
      </c>
      <c r="E96" s="3">
        <v>617077</v>
      </c>
      <c r="F96" s="3"/>
      <c r="G96" s="3">
        <v>0</v>
      </c>
      <c r="H96" s="3"/>
      <c r="I96" s="7">
        <f>+K96-G96-E96</f>
        <v>898494</v>
      </c>
      <c r="J96" s="3"/>
      <c r="K96" s="3">
        <v>1515571</v>
      </c>
      <c r="L96" s="3"/>
      <c r="M96" s="7">
        <f t="shared" si="7"/>
        <v>1124845</v>
      </c>
      <c r="N96" s="3"/>
      <c r="O96" s="3">
        <v>815191</v>
      </c>
      <c r="P96" s="3"/>
      <c r="Q96" s="3">
        <v>1940036</v>
      </c>
      <c r="R96" s="3"/>
      <c r="S96" s="3">
        <v>19291</v>
      </c>
      <c r="T96" s="3"/>
      <c r="U96" s="3">
        <v>30785</v>
      </c>
      <c r="V96" s="3"/>
      <c r="W96" s="3">
        <v>69549</v>
      </c>
      <c r="X96" s="3"/>
      <c r="Y96" s="3">
        <v>82539</v>
      </c>
      <c r="Z96" s="3"/>
      <c r="AA96" s="3">
        <v>-626629</v>
      </c>
      <c r="AB96" s="3"/>
      <c r="AC96" s="20">
        <f t="shared" si="5"/>
        <v>-424465</v>
      </c>
      <c r="AE96" s="3">
        <f t="shared" si="4"/>
        <v>0</v>
      </c>
    </row>
    <row r="97" spans="1:31" s="13" customFormat="1">
      <c r="A97" s="13" t="s">
        <v>304</v>
      </c>
      <c r="C97" s="13" t="s">
        <v>176</v>
      </c>
      <c r="E97" s="3">
        <v>1183852</v>
      </c>
      <c r="F97" s="3"/>
      <c r="G97" s="3">
        <v>0</v>
      </c>
      <c r="H97" s="3"/>
      <c r="I97" s="7">
        <f t="shared" si="6"/>
        <v>188175</v>
      </c>
      <c r="J97" s="3"/>
      <c r="K97" s="3">
        <v>1372027</v>
      </c>
      <c r="L97" s="3"/>
      <c r="M97" s="7">
        <f t="shared" si="7"/>
        <v>405500</v>
      </c>
      <c r="N97" s="3"/>
      <c r="O97" s="3">
        <v>0</v>
      </c>
      <c r="P97" s="3"/>
      <c r="Q97" s="3">
        <v>405500</v>
      </c>
      <c r="R97" s="3"/>
      <c r="S97" s="3">
        <v>0</v>
      </c>
      <c r="T97" s="3"/>
      <c r="U97" s="3">
        <v>626905</v>
      </c>
      <c r="V97" s="3"/>
      <c r="W97" s="3">
        <v>0</v>
      </c>
      <c r="X97" s="3"/>
      <c r="Y97" s="3">
        <v>26238</v>
      </c>
      <c r="Z97" s="3"/>
      <c r="AA97" s="3">
        <v>313384</v>
      </c>
      <c r="AB97" s="3"/>
      <c r="AC97" s="20">
        <f t="shared" si="5"/>
        <v>966527</v>
      </c>
      <c r="AE97" s="3">
        <f t="shared" si="4"/>
        <v>0</v>
      </c>
    </row>
    <row r="98" spans="1:31" s="13" customFormat="1">
      <c r="A98" s="13" t="s">
        <v>359</v>
      </c>
      <c r="C98" s="13" t="s">
        <v>144</v>
      </c>
      <c r="E98" s="3">
        <v>1452926</v>
      </c>
      <c r="F98" s="3"/>
      <c r="G98" s="3">
        <v>0</v>
      </c>
      <c r="H98" s="3"/>
      <c r="I98" s="7">
        <f t="shared" si="6"/>
        <v>2079502</v>
      </c>
      <c r="J98" s="3"/>
      <c r="K98" s="3">
        <v>3532428</v>
      </c>
      <c r="L98" s="3"/>
      <c r="M98" s="7">
        <f t="shared" si="7"/>
        <v>1235913</v>
      </c>
      <c r="N98" s="3"/>
      <c r="O98" s="3">
        <v>248668</v>
      </c>
      <c r="P98" s="3"/>
      <c r="Q98" s="3">
        <v>1484581</v>
      </c>
      <c r="R98" s="3"/>
      <c r="S98" s="3">
        <v>0</v>
      </c>
      <c r="T98" s="3"/>
      <c r="U98" s="3">
        <v>163765</v>
      </c>
      <c r="V98" s="3"/>
      <c r="W98" s="3">
        <v>0</v>
      </c>
      <c r="X98" s="3"/>
      <c r="Y98" s="3">
        <v>313643</v>
      </c>
      <c r="Z98" s="3"/>
      <c r="AA98" s="3">
        <v>1570439</v>
      </c>
      <c r="AB98" s="3"/>
      <c r="AC98" s="20">
        <f t="shared" si="5"/>
        <v>2047847</v>
      </c>
      <c r="AE98" s="3">
        <f t="shared" si="4"/>
        <v>0</v>
      </c>
    </row>
    <row r="99" spans="1:31" s="13" customFormat="1">
      <c r="A99" s="13" t="s">
        <v>358</v>
      </c>
      <c r="C99" s="13" t="s">
        <v>177</v>
      </c>
      <c r="E99" s="3">
        <v>4346955</v>
      </c>
      <c r="F99" s="3"/>
      <c r="G99" s="3">
        <v>0</v>
      </c>
      <c r="H99" s="3"/>
      <c r="I99" s="7">
        <f t="shared" si="6"/>
        <v>1363417</v>
      </c>
      <c r="J99" s="3"/>
      <c r="K99" s="3">
        <v>5710372</v>
      </c>
      <c r="L99" s="3"/>
      <c r="M99" s="7">
        <f t="shared" si="7"/>
        <v>2121477</v>
      </c>
      <c r="N99" s="3"/>
      <c r="O99" s="3">
        <v>211820</v>
      </c>
      <c r="P99" s="3"/>
      <c r="Q99" s="3">
        <v>2333297</v>
      </c>
      <c r="R99" s="3"/>
      <c r="S99" s="3">
        <v>0</v>
      </c>
      <c r="T99" s="3"/>
      <c r="U99" s="3">
        <f>9465+28119+195702+31085+5100+350281</f>
        <v>619752</v>
      </c>
      <c r="V99" s="3"/>
      <c r="W99" s="3">
        <f>372170+529454+754955+134231</f>
        <v>1790810</v>
      </c>
      <c r="X99" s="3"/>
      <c r="Y99" s="3">
        <f>897+88049+1254+141971</f>
        <v>232171</v>
      </c>
      <c r="Z99" s="3"/>
      <c r="AA99" s="3">
        <v>734342</v>
      </c>
      <c r="AB99" s="3"/>
      <c r="AC99" s="20">
        <f t="shared" si="5"/>
        <v>3377075</v>
      </c>
      <c r="AE99" s="3">
        <f t="shared" si="4"/>
        <v>0</v>
      </c>
    </row>
    <row r="100" spans="1:31" s="13" customFormat="1" hidden="1">
      <c r="A100" s="3" t="s">
        <v>322</v>
      </c>
      <c r="C100" s="13" t="s">
        <v>153</v>
      </c>
      <c r="E100" s="3">
        <v>0</v>
      </c>
      <c r="F100" s="3"/>
      <c r="G100" s="3">
        <v>0</v>
      </c>
      <c r="H100" s="3"/>
      <c r="I100" s="7">
        <f t="shared" si="6"/>
        <v>0</v>
      </c>
      <c r="J100" s="3"/>
      <c r="K100" s="3">
        <v>0</v>
      </c>
      <c r="L100" s="3"/>
      <c r="M100" s="7">
        <f t="shared" si="7"/>
        <v>0</v>
      </c>
      <c r="N100" s="3"/>
      <c r="O100" s="3">
        <v>0</v>
      </c>
      <c r="P100" s="3"/>
      <c r="Q100" s="3">
        <v>0</v>
      </c>
      <c r="R100" s="3"/>
      <c r="S100" s="3">
        <v>0</v>
      </c>
      <c r="T100" s="3"/>
      <c r="U100" s="3">
        <v>0</v>
      </c>
      <c r="V100" s="3"/>
      <c r="W100" s="3">
        <v>0</v>
      </c>
      <c r="X100" s="3"/>
      <c r="Y100" s="3">
        <v>0</v>
      </c>
      <c r="Z100" s="3"/>
      <c r="AA100" s="3">
        <v>0</v>
      </c>
      <c r="AB100" s="3"/>
      <c r="AC100" s="20">
        <f t="shared" si="5"/>
        <v>0</v>
      </c>
      <c r="AE100" s="3">
        <f t="shared" si="4"/>
        <v>0</v>
      </c>
    </row>
    <row r="101" spans="1:31" s="13" customFormat="1">
      <c r="A101" s="3" t="s">
        <v>323</v>
      </c>
      <c r="C101" s="13" t="s">
        <v>178</v>
      </c>
      <c r="E101" s="3">
        <v>2491844</v>
      </c>
      <c r="F101" s="3"/>
      <c r="G101" s="3">
        <v>0</v>
      </c>
      <c r="H101" s="3"/>
      <c r="I101" s="7">
        <f t="shared" si="6"/>
        <v>4389304</v>
      </c>
      <c r="J101" s="3"/>
      <c r="K101" s="3">
        <v>6881148</v>
      </c>
      <c r="L101" s="3"/>
      <c r="M101" s="7">
        <f t="shared" si="7"/>
        <v>2408516</v>
      </c>
      <c r="N101" s="3"/>
      <c r="O101" s="3">
        <f>2817906+42675</f>
        <v>2860581</v>
      </c>
      <c r="P101" s="3"/>
      <c r="Q101" s="3">
        <v>5269097</v>
      </c>
      <c r="R101" s="3"/>
      <c r="S101" s="3">
        <f>20194+2614+3350</f>
        <v>26158</v>
      </c>
      <c r="T101" s="3"/>
      <c r="U101" s="3">
        <f>23649+136750+32319+639863+7327</f>
        <v>839908</v>
      </c>
      <c r="V101" s="3"/>
      <c r="W101" s="3">
        <v>490000</v>
      </c>
      <c r="X101" s="3"/>
      <c r="Y101" s="3">
        <v>266201</v>
      </c>
      <c r="Z101" s="3"/>
      <c r="AA101" s="3">
        <v>-10216</v>
      </c>
      <c r="AB101" s="3"/>
      <c r="AC101" s="20">
        <f t="shared" si="5"/>
        <v>1612051</v>
      </c>
      <c r="AE101" s="3">
        <f t="shared" si="4"/>
        <v>0</v>
      </c>
    </row>
    <row r="102" spans="1:31" s="13" customFormat="1">
      <c r="A102" s="3" t="s">
        <v>179</v>
      </c>
      <c r="C102" s="13" t="s">
        <v>180</v>
      </c>
      <c r="E102" s="3">
        <v>1590822</v>
      </c>
      <c r="F102" s="3"/>
      <c r="G102" s="3">
        <v>0</v>
      </c>
      <c r="H102" s="3"/>
      <c r="I102" s="7">
        <f t="shared" si="6"/>
        <v>20789</v>
      </c>
      <c r="J102" s="3"/>
      <c r="K102" s="3">
        <v>1611611</v>
      </c>
      <c r="L102" s="3"/>
      <c r="M102" s="7">
        <f t="shared" si="7"/>
        <v>218940</v>
      </c>
      <c r="N102" s="3"/>
      <c r="O102" s="3">
        <v>0</v>
      </c>
      <c r="P102" s="3"/>
      <c r="Q102" s="3">
        <v>218940</v>
      </c>
      <c r="R102" s="3"/>
      <c r="S102" s="3">
        <v>0</v>
      </c>
      <c r="T102" s="3"/>
      <c r="U102" s="3">
        <v>1061796</v>
      </c>
      <c r="V102" s="3"/>
      <c r="W102" s="3">
        <v>203849</v>
      </c>
      <c r="X102" s="3"/>
      <c r="Y102" s="3">
        <v>84220</v>
      </c>
      <c r="Z102" s="3"/>
      <c r="AA102" s="3">
        <v>42806</v>
      </c>
      <c r="AB102" s="3"/>
      <c r="AC102" s="20">
        <f t="shared" si="5"/>
        <v>1392671</v>
      </c>
      <c r="AE102" s="3">
        <f t="shared" si="4"/>
        <v>0</v>
      </c>
    </row>
    <row r="103" spans="1:31" s="13" customFormat="1" hidden="1">
      <c r="A103" s="3" t="s">
        <v>324</v>
      </c>
      <c r="C103" s="13" t="s">
        <v>181</v>
      </c>
      <c r="E103" s="3">
        <v>0</v>
      </c>
      <c r="F103" s="3"/>
      <c r="G103" s="3">
        <v>0</v>
      </c>
      <c r="H103" s="3"/>
      <c r="I103" s="7">
        <f t="shared" si="6"/>
        <v>0</v>
      </c>
      <c r="J103" s="3"/>
      <c r="K103" s="3">
        <v>0</v>
      </c>
      <c r="L103" s="3"/>
      <c r="M103" s="7">
        <f t="shared" si="7"/>
        <v>0</v>
      </c>
      <c r="N103" s="3"/>
      <c r="O103" s="3">
        <v>0</v>
      </c>
      <c r="P103" s="3"/>
      <c r="Q103" s="3">
        <v>0</v>
      </c>
      <c r="R103" s="3"/>
      <c r="S103" s="3">
        <v>0</v>
      </c>
      <c r="T103" s="3"/>
      <c r="U103" s="3">
        <v>0</v>
      </c>
      <c r="V103" s="3"/>
      <c r="W103" s="3">
        <v>0</v>
      </c>
      <c r="X103" s="3"/>
      <c r="Y103" s="3">
        <v>0</v>
      </c>
      <c r="Z103" s="3"/>
      <c r="AA103" s="3">
        <v>0</v>
      </c>
      <c r="AB103" s="3"/>
      <c r="AC103" s="20">
        <f t="shared" si="5"/>
        <v>0</v>
      </c>
      <c r="AE103" s="3">
        <f t="shared" si="4"/>
        <v>0</v>
      </c>
    </row>
    <row r="104" spans="1:31" s="13" customFormat="1">
      <c r="A104" s="3" t="s">
        <v>325</v>
      </c>
      <c r="C104" s="13" t="s">
        <v>182</v>
      </c>
      <c r="E104" s="3">
        <v>3892951</v>
      </c>
      <c r="F104" s="3"/>
      <c r="G104" s="3">
        <v>3454</v>
      </c>
      <c r="H104" s="3"/>
      <c r="I104" s="7">
        <f t="shared" si="6"/>
        <v>177460</v>
      </c>
      <c r="J104" s="3"/>
      <c r="K104" s="3">
        <v>4073865</v>
      </c>
      <c r="L104" s="3"/>
      <c r="M104" s="7">
        <f t="shared" si="7"/>
        <v>1465871</v>
      </c>
      <c r="N104" s="3"/>
      <c r="O104" s="3">
        <v>923</v>
      </c>
      <c r="P104" s="3"/>
      <c r="Q104" s="3">
        <v>1466794</v>
      </c>
      <c r="R104" s="3"/>
      <c r="S104" s="3">
        <v>12746</v>
      </c>
      <c r="T104" s="3"/>
      <c r="U104" s="3">
        <v>1251</v>
      </c>
      <c r="V104" s="3"/>
      <c r="W104" s="3">
        <v>254783</v>
      </c>
      <c r="X104" s="3"/>
      <c r="Y104" s="3">
        <v>45736</v>
      </c>
      <c r="Z104" s="3"/>
      <c r="AA104" s="3">
        <v>2292555</v>
      </c>
      <c r="AB104" s="3"/>
      <c r="AC104" s="20">
        <f t="shared" si="5"/>
        <v>2607071</v>
      </c>
      <c r="AE104" s="3">
        <f t="shared" si="4"/>
        <v>0</v>
      </c>
    </row>
    <row r="105" spans="1:31" s="13" customFormat="1" hidden="1">
      <c r="A105" s="3" t="s">
        <v>280</v>
      </c>
      <c r="B105" s="3"/>
      <c r="C105" s="3" t="s">
        <v>191</v>
      </c>
      <c r="E105" s="3">
        <v>0</v>
      </c>
      <c r="F105" s="3"/>
      <c r="G105" s="3">
        <v>0</v>
      </c>
      <c r="H105" s="3"/>
      <c r="I105" s="7">
        <f>+K105-G105-E105</f>
        <v>0</v>
      </c>
      <c r="J105" s="3"/>
      <c r="K105" s="3">
        <v>0</v>
      </c>
      <c r="L105" s="3"/>
      <c r="M105" s="7">
        <f t="shared" si="7"/>
        <v>0</v>
      </c>
      <c r="N105" s="3"/>
      <c r="O105" s="3">
        <v>0</v>
      </c>
      <c r="P105" s="3"/>
      <c r="Q105" s="3">
        <v>0</v>
      </c>
      <c r="R105" s="3"/>
      <c r="S105" s="3">
        <v>0</v>
      </c>
      <c r="T105" s="3"/>
      <c r="U105" s="3">
        <v>0</v>
      </c>
      <c r="V105" s="3"/>
      <c r="W105" s="3">
        <v>0</v>
      </c>
      <c r="X105" s="3"/>
      <c r="Y105" s="3">
        <v>0</v>
      </c>
      <c r="Z105" s="3"/>
      <c r="AA105" s="3">
        <v>0</v>
      </c>
      <c r="AB105" s="3"/>
      <c r="AC105" s="20">
        <f t="shared" si="5"/>
        <v>0</v>
      </c>
      <c r="AE105" s="3">
        <f t="shared" si="4"/>
        <v>0</v>
      </c>
    </row>
    <row r="106" spans="1:31" s="13" customFormat="1">
      <c r="A106" s="3" t="s">
        <v>326</v>
      </c>
      <c r="C106" s="13" t="s">
        <v>183</v>
      </c>
      <c r="E106" s="3">
        <v>15605884</v>
      </c>
      <c r="F106" s="3"/>
      <c r="G106" s="3">
        <v>5340</v>
      </c>
      <c r="H106" s="3"/>
      <c r="I106" s="7">
        <f t="shared" si="6"/>
        <v>2895033</v>
      </c>
      <c r="J106" s="3"/>
      <c r="K106" s="3">
        <v>18506257</v>
      </c>
      <c r="L106" s="3"/>
      <c r="M106" s="7">
        <f t="shared" si="7"/>
        <v>4113049</v>
      </c>
      <c r="N106" s="3"/>
      <c r="O106" s="3">
        <v>472135</v>
      </c>
      <c r="P106" s="3"/>
      <c r="Q106" s="3">
        <v>4585184</v>
      </c>
      <c r="R106" s="3"/>
      <c r="S106" s="3">
        <v>29</v>
      </c>
      <c r="T106" s="3"/>
      <c r="U106" s="3">
        <v>1460653</v>
      </c>
      <c r="V106" s="3"/>
      <c r="W106" s="3">
        <v>0</v>
      </c>
      <c r="X106" s="3"/>
      <c r="Y106" s="3">
        <v>718414</v>
      </c>
      <c r="Z106" s="3"/>
      <c r="AA106" s="3">
        <v>11741977</v>
      </c>
      <c r="AB106" s="3"/>
      <c r="AC106" s="20">
        <f t="shared" si="5"/>
        <v>13921073</v>
      </c>
      <c r="AE106" s="3">
        <f t="shared" si="4"/>
        <v>0</v>
      </c>
    </row>
    <row r="107" spans="1:31" s="13" customFormat="1">
      <c r="A107" s="3" t="s">
        <v>184</v>
      </c>
      <c r="C107" s="13" t="s">
        <v>185</v>
      </c>
      <c r="E107" s="3">
        <v>3773939</v>
      </c>
      <c r="F107" s="3"/>
      <c r="G107" s="3">
        <v>2683</v>
      </c>
      <c r="H107" s="3"/>
      <c r="I107" s="7">
        <f t="shared" si="6"/>
        <v>1779897</v>
      </c>
      <c r="J107" s="3"/>
      <c r="K107" s="3">
        <v>5556519</v>
      </c>
      <c r="L107" s="3"/>
      <c r="M107" s="7">
        <f t="shared" si="7"/>
        <v>2105847</v>
      </c>
      <c r="N107" s="3"/>
      <c r="O107" s="3">
        <v>140367</v>
      </c>
      <c r="P107" s="3"/>
      <c r="Q107" s="3">
        <v>2246214</v>
      </c>
      <c r="R107" s="3"/>
      <c r="S107" s="3">
        <f>162619+2683</f>
        <v>165302</v>
      </c>
      <c r="T107" s="3"/>
      <c r="U107" s="3">
        <f>118+44556+4478+30604</f>
        <v>79756</v>
      </c>
      <c r="V107" s="3"/>
      <c r="W107" s="3">
        <v>0</v>
      </c>
      <c r="X107" s="3"/>
      <c r="Y107" s="3">
        <v>344911</v>
      </c>
      <c r="Z107" s="3"/>
      <c r="AA107" s="3">
        <v>2720336</v>
      </c>
      <c r="AB107" s="3"/>
      <c r="AC107" s="20">
        <f t="shared" si="5"/>
        <v>3310305</v>
      </c>
      <c r="AE107" s="3">
        <f t="shared" si="4"/>
        <v>0</v>
      </c>
    </row>
    <row r="108" spans="1:31" s="13" customFormat="1">
      <c r="A108" s="3" t="s">
        <v>268</v>
      </c>
      <c r="C108" s="13" t="s">
        <v>195</v>
      </c>
      <c r="E108" s="3">
        <v>1897574</v>
      </c>
      <c r="F108" s="3"/>
      <c r="G108" s="3">
        <v>0</v>
      </c>
      <c r="H108" s="3"/>
      <c r="I108" s="7">
        <f t="shared" si="6"/>
        <v>619249</v>
      </c>
      <c r="J108" s="3"/>
      <c r="K108" s="3">
        <v>2516823</v>
      </c>
      <c r="L108" s="3"/>
      <c r="M108" s="7">
        <f t="shared" si="7"/>
        <v>1833532</v>
      </c>
      <c r="N108" s="3"/>
      <c r="O108" s="3">
        <v>230957</v>
      </c>
      <c r="P108" s="3"/>
      <c r="Q108" s="3">
        <v>2064489</v>
      </c>
      <c r="R108" s="3"/>
      <c r="S108" s="3">
        <v>40188</v>
      </c>
      <c r="T108" s="3"/>
      <c r="U108" s="3">
        <f>6414+15063+58667</f>
        <v>80144</v>
      </c>
      <c r="V108" s="3"/>
      <c r="W108" s="3">
        <v>0</v>
      </c>
      <c r="X108" s="3"/>
      <c r="Y108" s="3">
        <f>45252+145659+979</f>
        <v>191890</v>
      </c>
      <c r="Z108" s="3"/>
      <c r="AA108" s="3">
        <v>140112</v>
      </c>
      <c r="AB108" s="3"/>
      <c r="AC108" s="20">
        <f t="shared" si="5"/>
        <v>452334</v>
      </c>
      <c r="AE108" s="3">
        <f t="shared" si="4"/>
        <v>0</v>
      </c>
    </row>
    <row r="109" spans="1:31" s="13" customFormat="1">
      <c r="A109" s="13" t="s">
        <v>305</v>
      </c>
      <c r="C109" s="13" t="s">
        <v>162</v>
      </c>
      <c r="E109" s="3">
        <v>7199576</v>
      </c>
      <c r="F109" s="3"/>
      <c r="G109" s="3">
        <v>0</v>
      </c>
      <c r="H109" s="3"/>
      <c r="I109" s="7">
        <f t="shared" ref="I109" si="10">+K109-G109-E109</f>
        <v>524924</v>
      </c>
      <c r="J109" s="3"/>
      <c r="K109" s="3">
        <v>7724500</v>
      </c>
      <c r="L109" s="3"/>
      <c r="M109" s="7">
        <f t="shared" ref="M109" si="11">+Q109-O109</f>
        <v>2290511</v>
      </c>
      <c r="N109" s="3"/>
      <c r="O109" s="3">
        <f>78599+5165</f>
        <v>83764</v>
      </c>
      <c r="P109" s="3"/>
      <c r="Q109" s="3">
        <v>2374275</v>
      </c>
      <c r="R109" s="3"/>
      <c r="S109" s="3">
        <f>72241+2645</f>
        <v>74886</v>
      </c>
      <c r="T109" s="3"/>
      <c r="U109" s="3">
        <v>68857</v>
      </c>
      <c r="V109" s="3"/>
      <c r="W109" s="3">
        <v>0</v>
      </c>
      <c r="X109" s="3"/>
      <c r="Y109" s="3">
        <f>34488+262844+64257</f>
        <v>361589</v>
      </c>
      <c r="Z109" s="3"/>
      <c r="AA109" s="3">
        <v>4844893</v>
      </c>
      <c r="AB109" s="3"/>
      <c r="AC109" s="20">
        <f t="shared" si="5"/>
        <v>5350225</v>
      </c>
      <c r="AE109" s="3">
        <f t="shared" si="4"/>
        <v>0</v>
      </c>
    </row>
    <row r="110" spans="1:31" s="13" customFormat="1">
      <c r="A110" s="3" t="s">
        <v>165</v>
      </c>
      <c r="C110" s="3" t="s">
        <v>327</v>
      </c>
      <c r="E110" s="3">
        <v>3834645</v>
      </c>
      <c r="F110" s="3"/>
      <c r="G110" s="3">
        <v>0</v>
      </c>
      <c r="H110" s="3"/>
      <c r="I110" s="7">
        <f t="shared" si="6"/>
        <v>277585</v>
      </c>
      <c r="J110" s="3"/>
      <c r="K110" s="3">
        <v>4112230</v>
      </c>
      <c r="L110" s="3"/>
      <c r="M110" s="7">
        <f t="shared" si="7"/>
        <v>2475969</v>
      </c>
      <c r="N110" s="3"/>
      <c r="O110" s="3">
        <v>125417</v>
      </c>
      <c r="P110" s="3"/>
      <c r="Q110" s="3">
        <v>2601386</v>
      </c>
      <c r="R110" s="3"/>
      <c r="S110" s="3">
        <v>14677</v>
      </c>
      <c r="T110" s="3"/>
      <c r="U110" s="3">
        <v>292409</v>
      </c>
      <c r="V110" s="3"/>
      <c r="W110" s="3">
        <v>94843</v>
      </c>
      <c r="X110" s="3"/>
      <c r="Y110" s="3">
        <v>45100</v>
      </c>
      <c r="Z110" s="3"/>
      <c r="AA110" s="3">
        <v>1063815</v>
      </c>
      <c r="AB110" s="3"/>
      <c r="AC110" s="20">
        <f t="shared" si="5"/>
        <v>1510844</v>
      </c>
      <c r="AE110" s="3">
        <f t="shared" si="4"/>
        <v>0</v>
      </c>
    </row>
    <row r="111" spans="1:31" s="13" customFormat="1">
      <c r="A111" s="3" t="s">
        <v>314</v>
      </c>
      <c r="C111" s="3" t="s">
        <v>262</v>
      </c>
      <c r="E111" s="3">
        <v>1971947</v>
      </c>
      <c r="F111" s="3"/>
      <c r="G111" s="3">
        <v>28613</v>
      </c>
      <c r="H111" s="3"/>
      <c r="I111" s="7">
        <f t="shared" si="6"/>
        <v>200295</v>
      </c>
      <c r="J111" s="3"/>
      <c r="K111" s="3">
        <v>2200855</v>
      </c>
      <c r="L111" s="3"/>
      <c r="M111" s="7">
        <f t="shared" si="7"/>
        <v>869360</v>
      </c>
      <c r="N111" s="3"/>
      <c r="O111" s="3">
        <v>58543</v>
      </c>
      <c r="P111" s="3"/>
      <c r="Q111" s="3">
        <v>927903</v>
      </c>
      <c r="R111" s="3"/>
      <c r="S111" s="3">
        <v>39941</v>
      </c>
      <c r="T111" s="3"/>
      <c r="U111" s="3">
        <v>7975</v>
      </c>
      <c r="V111" s="3"/>
      <c r="W111" s="3">
        <v>0</v>
      </c>
      <c r="X111" s="3"/>
      <c r="Y111" s="3">
        <v>100674</v>
      </c>
      <c r="Z111" s="3"/>
      <c r="AA111" s="3">
        <v>1124362</v>
      </c>
      <c r="AB111" s="3"/>
      <c r="AC111" s="20">
        <f t="shared" si="5"/>
        <v>1272952</v>
      </c>
      <c r="AE111" s="3">
        <f t="shared" si="4"/>
        <v>0</v>
      </c>
    </row>
    <row r="112" spans="1:31" s="13" customFormat="1" hidden="1">
      <c r="A112" s="3" t="s">
        <v>364</v>
      </c>
      <c r="C112" s="13" t="s">
        <v>186</v>
      </c>
      <c r="E112" s="3">
        <v>0</v>
      </c>
      <c r="F112" s="3"/>
      <c r="G112" s="3">
        <v>0</v>
      </c>
      <c r="H112" s="3"/>
      <c r="I112" s="7">
        <f t="shared" si="6"/>
        <v>0</v>
      </c>
      <c r="J112" s="3"/>
      <c r="K112" s="3">
        <v>0</v>
      </c>
      <c r="L112" s="3"/>
      <c r="M112" s="7">
        <f t="shared" si="7"/>
        <v>0</v>
      </c>
      <c r="N112" s="3"/>
      <c r="O112" s="3">
        <v>0</v>
      </c>
      <c r="P112" s="3"/>
      <c r="Q112" s="3">
        <v>0</v>
      </c>
      <c r="R112" s="3"/>
      <c r="S112" s="3">
        <v>0</v>
      </c>
      <c r="T112" s="3"/>
      <c r="U112" s="3">
        <v>0</v>
      </c>
      <c r="V112" s="3"/>
      <c r="W112" s="3">
        <v>0</v>
      </c>
      <c r="X112" s="3"/>
      <c r="Y112" s="3">
        <v>0</v>
      </c>
      <c r="Z112" s="3"/>
      <c r="AA112" s="3">
        <v>0</v>
      </c>
      <c r="AB112" s="3"/>
      <c r="AC112" s="20">
        <f t="shared" si="5"/>
        <v>0</v>
      </c>
      <c r="AE112" s="3">
        <f t="shared" si="4"/>
        <v>0</v>
      </c>
    </row>
    <row r="113" spans="1:31" s="13" customFormat="1">
      <c r="A113" s="3" t="s">
        <v>338</v>
      </c>
      <c r="C113" s="13" t="s">
        <v>187</v>
      </c>
      <c r="E113" s="3">
        <v>822371</v>
      </c>
      <c r="F113" s="3"/>
      <c r="G113" s="3">
        <v>0</v>
      </c>
      <c r="H113" s="3"/>
      <c r="I113" s="7">
        <f t="shared" si="6"/>
        <v>107438</v>
      </c>
      <c r="J113" s="3"/>
      <c r="K113" s="3">
        <v>929809</v>
      </c>
      <c r="L113" s="3"/>
      <c r="M113" s="7">
        <f t="shared" si="7"/>
        <v>419581</v>
      </c>
      <c r="N113" s="3"/>
      <c r="O113" s="3">
        <v>0</v>
      </c>
      <c r="P113" s="3"/>
      <c r="Q113" s="3">
        <v>419581</v>
      </c>
      <c r="R113" s="3"/>
      <c r="S113" s="3">
        <v>0</v>
      </c>
      <c r="T113" s="3"/>
      <c r="U113" s="3">
        <v>73146</v>
      </c>
      <c r="V113" s="3"/>
      <c r="W113" s="3">
        <v>1549</v>
      </c>
      <c r="X113" s="3"/>
      <c r="Y113" s="3">
        <v>3020</v>
      </c>
      <c r="Z113" s="3"/>
      <c r="AA113" s="3">
        <v>432513</v>
      </c>
      <c r="AB113" s="3"/>
      <c r="AC113" s="20">
        <f t="shared" si="5"/>
        <v>510228</v>
      </c>
      <c r="AE113" s="3">
        <f t="shared" si="4"/>
        <v>0</v>
      </c>
    </row>
    <row r="114" spans="1:31" s="13" customFormat="1">
      <c r="A114" s="3" t="s">
        <v>329</v>
      </c>
      <c r="C114" s="13" t="s">
        <v>188</v>
      </c>
      <c r="E114" s="3">
        <v>1048850</v>
      </c>
      <c r="F114" s="3"/>
      <c r="G114" s="3">
        <v>0</v>
      </c>
      <c r="H114" s="3"/>
      <c r="I114" s="7">
        <f t="shared" si="6"/>
        <v>442713</v>
      </c>
      <c r="J114" s="3"/>
      <c r="K114" s="3">
        <v>1491563</v>
      </c>
      <c r="L114" s="3"/>
      <c r="M114" s="7">
        <f t="shared" si="7"/>
        <v>702392</v>
      </c>
      <c r="N114" s="3"/>
      <c r="O114" s="3">
        <v>300873</v>
      </c>
      <c r="P114" s="3"/>
      <c r="Q114" s="3">
        <v>1003265</v>
      </c>
      <c r="R114" s="3"/>
      <c r="S114" s="3">
        <v>0</v>
      </c>
      <c r="T114" s="3"/>
      <c r="U114" s="3">
        <v>328456</v>
      </c>
      <c r="V114" s="3"/>
      <c r="W114" s="3">
        <v>0</v>
      </c>
      <c r="X114" s="3"/>
      <c r="Y114" s="3">
        <v>5018</v>
      </c>
      <c r="Z114" s="3"/>
      <c r="AA114" s="3">
        <v>154824</v>
      </c>
      <c r="AB114" s="3"/>
      <c r="AC114" s="20">
        <f t="shared" si="5"/>
        <v>488298</v>
      </c>
      <c r="AE114" s="3">
        <f t="shared" si="4"/>
        <v>0</v>
      </c>
    </row>
    <row r="115" spans="1:31" s="13" customFormat="1" hidden="1">
      <c r="A115" s="13" t="s">
        <v>330</v>
      </c>
      <c r="C115" s="13" t="s">
        <v>189</v>
      </c>
      <c r="E115" s="3">
        <v>0</v>
      </c>
      <c r="F115" s="3"/>
      <c r="G115" s="3">
        <v>0</v>
      </c>
      <c r="H115" s="3"/>
      <c r="I115" s="7">
        <f t="shared" si="6"/>
        <v>0</v>
      </c>
      <c r="J115" s="3"/>
      <c r="K115" s="3">
        <v>0</v>
      </c>
      <c r="L115" s="3"/>
      <c r="M115" s="7">
        <f t="shared" si="7"/>
        <v>0</v>
      </c>
      <c r="N115" s="3"/>
      <c r="O115" s="3">
        <v>0</v>
      </c>
      <c r="P115" s="3"/>
      <c r="Q115" s="3">
        <v>0</v>
      </c>
      <c r="R115" s="3"/>
      <c r="S115" s="3">
        <v>0</v>
      </c>
      <c r="T115" s="3"/>
      <c r="U115" s="3">
        <v>0</v>
      </c>
      <c r="V115" s="3"/>
      <c r="W115" s="3">
        <v>0</v>
      </c>
      <c r="X115" s="3"/>
      <c r="Y115" s="3">
        <v>0</v>
      </c>
      <c r="Z115" s="3"/>
      <c r="AA115" s="3">
        <v>0</v>
      </c>
      <c r="AB115" s="3"/>
      <c r="AC115" s="20">
        <f t="shared" si="5"/>
        <v>0</v>
      </c>
      <c r="AE115" s="3">
        <f t="shared" si="4"/>
        <v>0</v>
      </c>
    </row>
    <row r="116" spans="1:31" s="13" customFormat="1">
      <c r="A116" s="3" t="s">
        <v>331</v>
      </c>
      <c r="C116" s="13" t="s">
        <v>190</v>
      </c>
      <c r="E116" s="3">
        <v>1440713</v>
      </c>
      <c r="F116" s="3"/>
      <c r="G116" s="3">
        <v>0</v>
      </c>
      <c r="H116" s="3"/>
      <c r="I116" s="7">
        <f t="shared" si="6"/>
        <v>659485</v>
      </c>
      <c r="J116" s="3"/>
      <c r="K116" s="3">
        <v>2100198</v>
      </c>
      <c r="L116" s="3"/>
      <c r="M116" s="7">
        <f t="shared" si="7"/>
        <v>786299</v>
      </c>
      <c r="N116" s="3"/>
      <c r="O116" s="3">
        <v>98250</v>
      </c>
      <c r="P116" s="3"/>
      <c r="Q116" s="3">
        <v>884549</v>
      </c>
      <c r="R116" s="3"/>
      <c r="S116" s="3">
        <v>0</v>
      </c>
      <c r="T116" s="3"/>
      <c r="U116" s="3">
        <f>1718+106865+204974</f>
        <v>313557</v>
      </c>
      <c r="V116" s="3"/>
      <c r="W116" s="3">
        <v>0</v>
      </c>
      <c r="X116" s="3"/>
      <c r="Y116" s="3">
        <f>1623+29058</f>
        <v>30681</v>
      </c>
      <c r="Z116" s="3"/>
      <c r="AA116" s="3">
        <v>871411</v>
      </c>
      <c r="AB116" s="3"/>
      <c r="AC116" s="20">
        <f t="shared" si="5"/>
        <v>1215649</v>
      </c>
      <c r="AE116" s="3">
        <f t="shared" si="4"/>
        <v>0</v>
      </c>
    </row>
    <row r="117" spans="1:31" s="13" customFormat="1">
      <c r="A117" s="3" t="s">
        <v>332</v>
      </c>
      <c r="C117" s="13" t="s">
        <v>192</v>
      </c>
      <c r="E117" s="3">
        <v>3051442</v>
      </c>
      <c r="F117" s="3"/>
      <c r="G117" s="3">
        <v>0</v>
      </c>
      <c r="H117" s="3"/>
      <c r="I117" s="7">
        <f t="shared" si="6"/>
        <v>1303387</v>
      </c>
      <c r="J117" s="3"/>
      <c r="K117" s="3">
        <v>4354829</v>
      </c>
      <c r="L117" s="3"/>
      <c r="M117" s="7">
        <f t="shared" si="7"/>
        <v>1205603</v>
      </c>
      <c r="N117" s="3"/>
      <c r="O117" s="3">
        <v>363616</v>
      </c>
      <c r="P117" s="3"/>
      <c r="Q117" s="3">
        <v>1569219</v>
      </c>
      <c r="R117" s="3"/>
      <c r="S117" s="3">
        <v>0</v>
      </c>
      <c r="T117" s="3"/>
      <c r="U117" s="3">
        <f>75861+580+900</f>
        <v>77341</v>
      </c>
      <c r="V117" s="3"/>
      <c r="W117" s="3">
        <v>24824</v>
      </c>
      <c r="X117" s="3"/>
      <c r="Y117" s="3">
        <v>15015</v>
      </c>
      <c r="Z117" s="3"/>
      <c r="AA117" s="3">
        <v>2668430</v>
      </c>
      <c r="AB117" s="3"/>
      <c r="AC117" s="20">
        <f t="shared" si="5"/>
        <v>2785610</v>
      </c>
      <c r="AE117" s="3">
        <f t="shared" si="4"/>
        <v>0</v>
      </c>
    </row>
    <row r="118" spans="1:31" s="13" customFormat="1" hidden="1">
      <c r="A118" s="3" t="s">
        <v>306</v>
      </c>
      <c r="C118" s="13" t="s">
        <v>193</v>
      </c>
      <c r="E118" s="3">
        <v>0</v>
      </c>
      <c r="F118" s="3"/>
      <c r="G118" s="3">
        <v>0</v>
      </c>
      <c r="H118" s="3"/>
      <c r="I118" s="7">
        <f t="shared" si="6"/>
        <v>0</v>
      </c>
      <c r="J118" s="3"/>
      <c r="K118" s="3">
        <v>0</v>
      </c>
      <c r="L118" s="3"/>
      <c r="M118" s="7">
        <f t="shared" si="7"/>
        <v>0</v>
      </c>
      <c r="N118" s="3"/>
      <c r="O118" s="3">
        <v>0</v>
      </c>
      <c r="P118" s="3"/>
      <c r="Q118" s="3">
        <v>0</v>
      </c>
      <c r="R118" s="3"/>
      <c r="S118" s="3">
        <v>0</v>
      </c>
      <c r="T118" s="3"/>
      <c r="U118" s="3">
        <v>0</v>
      </c>
      <c r="V118" s="3"/>
      <c r="W118" s="3">
        <v>0</v>
      </c>
      <c r="X118" s="3"/>
      <c r="Y118" s="3">
        <v>0</v>
      </c>
      <c r="Z118" s="3"/>
      <c r="AA118" s="3">
        <v>0</v>
      </c>
      <c r="AB118" s="3"/>
      <c r="AC118" s="20">
        <f t="shared" si="5"/>
        <v>0</v>
      </c>
      <c r="AE118" s="3">
        <f t="shared" si="4"/>
        <v>0</v>
      </c>
    </row>
    <row r="119" spans="1:31" s="13" customFormat="1" hidden="1">
      <c r="A119" s="3" t="s">
        <v>376</v>
      </c>
      <c r="C119" s="13" t="s">
        <v>196</v>
      </c>
      <c r="E119" s="3">
        <v>0</v>
      </c>
      <c r="F119" s="3"/>
      <c r="G119" s="3">
        <v>0</v>
      </c>
      <c r="H119" s="3"/>
      <c r="I119" s="7">
        <f t="shared" si="6"/>
        <v>0</v>
      </c>
      <c r="J119" s="3"/>
      <c r="K119" s="3">
        <v>0</v>
      </c>
      <c r="L119" s="3"/>
      <c r="M119" s="7">
        <f t="shared" si="7"/>
        <v>0</v>
      </c>
      <c r="N119" s="3"/>
      <c r="O119" s="3">
        <v>0</v>
      </c>
      <c r="P119" s="3"/>
      <c r="Q119" s="3">
        <v>0</v>
      </c>
      <c r="R119" s="3"/>
      <c r="S119" s="3">
        <v>0</v>
      </c>
      <c r="T119" s="3"/>
      <c r="U119" s="3">
        <v>0</v>
      </c>
      <c r="V119" s="3"/>
      <c r="W119" s="3">
        <v>0</v>
      </c>
      <c r="X119" s="3"/>
      <c r="Y119" s="3">
        <v>0</v>
      </c>
      <c r="Z119" s="3"/>
      <c r="AA119" s="3">
        <v>0</v>
      </c>
      <c r="AB119" s="3"/>
      <c r="AC119" s="20">
        <f t="shared" si="5"/>
        <v>0</v>
      </c>
      <c r="AE119" s="3">
        <f t="shared" si="4"/>
        <v>0</v>
      </c>
    </row>
    <row r="120" spans="1:31" s="13" customFormat="1">
      <c r="A120" s="3" t="s">
        <v>266</v>
      </c>
      <c r="C120" s="13" t="s">
        <v>194</v>
      </c>
      <c r="E120" s="3">
        <v>1822251</v>
      </c>
      <c r="F120" s="3"/>
      <c r="G120" s="3">
        <v>0</v>
      </c>
      <c r="H120" s="3"/>
      <c r="I120" s="7">
        <f t="shared" si="6"/>
        <v>429888</v>
      </c>
      <c r="J120" s="3"/>
      <c r="K120" s="3">
        <v>2252139</v>
      </c>
      <c r="L120" s="3"/>
      <c r="M120" s="7">
        <f t="shared" si="7"/>
        <v>962056</v>
      </c>
      <c r="N120" s="3"/>
      <c r="O120" s="3">
        <v>118879</v>
      </c>
      <c r="P120" s="3"/>
      <c r="Q120" s="3">
        <v>1080935</v>
      </c>
      <c r="R120" s="3"/>
      <c r="S120" s="3">
        <v>0</v>
      </c>
      <c r="T120" s="3"/>
      <c r="U120" s="3">
        <v>141255</v>
      </c>
      <c r="V120" s="3"/>
      <c r="W120" s="3">
        <v>0</v>
      </c>
      <c r="X120" s="3"/>
      <c r="Y120" s="3">
        <v>71857</v>
      </c>
      <c r="Z120" s="3"/>
      <c r="AA120" s="3">
        <v>958092</v>
      </c>
      <c r="AB120" s="3"/>
      <c r="AC120" s="20">
        <f t="shared" si="5"/>
        <v>1171204</v>
      </c>
      <c r="AE120" s="3">
        <f t="shared" si="4"/>
        <v>0</v>
      </c>
    </row>
    <row r="121" spans="1:31" s="13" customFormat="1">
      <c r="A121" s="3" t="s">
        <v>265</v>
      </c>
      <c r="B121" s="3"/>
      <c r="C121" s="3" t="s">
        <v>157</v>
      </c>
      <c r="E121" s="3">
        <v>2678210</v>
      </c>
      <c r="F121" s="3"/>
      <c r="G121" s="3">
        <v>0</v>
      </c>
      <c r="H121" s="3"/>
      <c r="I121" s="7">
        <f>+K121-G121-E121</f>
        <v>61426</v>
      </c>
      <c r="J121" s="3"/>
      <c r="K121" s="3">
        <v>2739636</v>
      </c>
      <c r="L121" s="3"/>
      <c r="M121" s="7">
        <f t="shared" si="7"/>
        <v>213410</v>
      </c>
      <c r="N121" s="3"/>
      <c r="O121" s="3">
        <v>12032</v>
      </c>
      <c r="P121" s="3"/>
      <c r="Q121" s="3">
        <v>225442</v>
      </c>
      <c r="R121" s="3"/>
      <c r="S121" s="3">
        <v>0</v>
      </c>
      <c r="T121" s="3"/>
      <c r="U121" s="3">
        <v>9511</v>
      </c>
      <c r="V121" s="3"/>
      <c r="W121" s="3">
        <v>0</v>
      </c>
      <c r="X121" s="3"/>
      <c r="Y121" s="3">
        <v>174591</v>
      </c>
      <c r="Z121" s="3"/>
      <c r="AA121" s="3">
        <v>2330092</v>
      </c>
      <c r="AB121" s="3"/>
      <c r="AC121" s="20">
        <f t="shared" si="5"/>
        <v>2514194</v>
      </c>
      <c r="AE121" s="3">
        <f t="shared" si="4"/>
        <v>0</v>
      </c>
    </row>
    <row r="122" spans="1:31" s="13" customFormat="1">
      <c r="A122" s="13" t="s">
        <v>336</v>
      </c>
      <c r="C122" s="13" t="s">
        <v>197</v>
      </c>
      <c r="E122" s="3">
        <v>1410395</v>
      </c>
      <c r="F122" s="3"/>
      <c r="G122" s="3">
        <v>0</v>
      </c>
      <c r="H122" s="3"/>
      <c r="I122" s="7">
        <f t="shared" si="6"/>
        <v>2772053</v>
      </c>
      <c r="J122" s="3"/>
      <c r="K122" s="3">
        <v>4182448</v>
      </c>
      <c r="L122" s="3"/>
      <c r="M122" s="7">
        <f t="shared" si="7"/>
        <v>2704853</v>
      </c>
      <c r="N122" s="3"/>
      <c r="O122" s="3">
        <v>1226827</v>
      </c>
      <c r="P122" s="3"/>
      <c r="Q122" s="3">
        <v>3931680</v>
      </c>
      <c r="R122" s="3"/>
      <c r="S122" s="3">
        <v>5626</v>
      </c>
      <c r="T122" s="3"/>
      <c r="U122" s="3">
        <f>28453+267+144946</f>
        <v>173666</v>
      </c>
      <c r="V122" s="3"/>
      <c r="W122" s="3">
        <v>0</v>
      </c>
      <c r="X122" s="3"/>
      <c r="Y122" s="3">
        <f>9580+53197+62900+1764</f>
        <v>127441</v>
      </c>
      <c r="Z122" s="3"/>
      <c r="AA122" s="3">
        <v>-55965</v>
      </c>
      <c r="AB122" s="3"/>
      <c r="AC122" s="20">
        <f t="shared" si="5"/>
        <v>250768</v>
      </c>
      <c r="AE122" s="3">
        <f t="shared" si="4"/>
        <v>0</v>
      </c>
    </row>
    <row r="123" spans="1:31" s="13" customFormat="1">
      <c r="A123" s="3" t="s">
        <v>337</v>
      </c>
      <c r="C123" s="13" t="s">
        <v>198</v>
      </c>
      <c r="E123" s="3">
        <v>4688422</v>
      </c>
      <c r="F123" s="3"/>
      <c r="G123" s="3">
        <v>0</v>
      </c>
      <c r="H123" s="3"/>
      <c r="I123" s="7">
        <f t="shared" si="6"/>
        <v>4058293</v>
      </c>
      <c r="J123" s="3"/>
      <c r="K123" s="3">
        <v>8746715</v>
      </c>
      <c r="L123" s="3"/>
      <c r="M123" s="7">
        <f t="shared" si="7"/>
        <v>2069411</v>
      </c>
      <c r="N123" s="3"/>
      <c r="O123" s="3">
        <v>2460365</v>
      </c>
      <c r="P123" s="3"/>
      <c r="Q123" s="3">
        <v>4529776</v>
      </c>
      <c r="R123" s="3"/>
      <c r="S123" s="3">
        <v>0</v>
      </c>
      <c r="T123" s="3"/>
      <c r="U123" s="3">
        <v>49934</v>
      </c>
      <c r="V123" s="3"/>
      <c r="W123" s="3">
        <v>0</v>
      </c>
      <c r="X123" s="3"/>
      <c r="Y123" s="3">
        <v>50155</v>
      </c>
      <c r="Z123" s="3"/>
      <c r="AA123" s="3">
        <v>4116850</v>
      </c>
      <c r="AB123" s="3"/>
      <c r="AC123" s="20">
        <f t="shared" si="5"/>
        <v>4216939</v>
      </c>
      <c r="AE123" s="3">
        <f t="shared" si="4"/>
        <v>0</v>
      </c>
    </row>
    <row r="124" spans="1:31" s="13" customFormat="1" hidden="1">
      <c r="A124" s="3" t="s">
        <v>362</v>
      </c>
      <c r="C124" s="13" t="s">
        <v>205</v>
      </c>
      <c r="E124" s="3">
        <v>0</v>
      </c>
      <c r="F124" s="3"/>
      <c r="G124" s="3">
        <v>0</v>
      </c>
      <c r="H124" s="3"/>
      <c r="I124" s="7">
        <f t="shared" si="6"/>
        <v>0</v>
      </c>
      <c r="J124" s="3"/>
      <c r="K124" s="3">
        <v>0</v>
      </c>
      <c r="L124" s="3"/>
      <c r="M124" s="7">
        <f t="shared" si="7"/>
        <v>0</v>
      </c>
      <c r="N124" s="3"/>
      <c r="O124" s="3">
        <v>0</v>
      </c>
      <c r="P124" s="3"/>
      <c r="Q124" s="3">
        <v>0</v>
      </c>
      <c r="R124" s="3"/>
      <c r="S124" s="3">
        <v>0</v>
      </c>
      <c r="T124" s="3"/>
      <c r="U124" s="3">
        <v>0</v>
      </c>
      <c r="V124" s="3"/>
      <c r="W124" s="3">
        <v>0</v>
      </c>
      <c r="X124" s="3"/>
      <c r="Y124" s="3">
        <v>0</v>
      </c>
      <c r="Z124" s="3"/>
      <c r="AA124" s="3">
        <v>0</v>
      </c>
      <c r="AB124" s="3"/>
      <c r="AC124" s="20">
        <f t="shared" si="5"/>
        <v>0</v>
      </c>
      <c r="AE124" s="3">
        <f t="shared" si="4"/>
        <v>0</v>
      </c>
    </row>
    <row r="125" spans="1:31" s="13" customFormat="1">
      <c r="A125" s="3" t="s">
        <v>339</v>
      </c>
      <c r="C125" s="13" t="s">
        <v>199</v>
      </c>
      <c r="E125" s="3">
        <v>6276810</v>
      </c>
      <c r="F125" s="3"/>
      <c r="G125" s="3">
        <v>0</v>
      </c>
      <c r="H125" s="3"/>
      <c r="I125" s="7">
        <f t="shared" si="6"/>
        <v>1376949</v>
      </c>
      <c r="J125" s="3"/>
      <c r="K125" s="3">
        <v>7653759</v>
      </c>
      <c r="L125" s="3"/>
      <c r="M125" s="7">
        <f t="shared" si="7"/>
        <v>2356071</v>
      </c>
      <c r="N125" s="3"/>
      <c r="O125" s="3">
        <f>11505+685296</f>
        <v>696801</v>
      </c>
      <c r="P125" s="3"/>
      <c r="Q125" s="3">
        <v>3052872</v>
      </c>
      <c r="R125" s="3"/>
      <c r="S125" s="3">
        <v>23941</v>
      </c>
      <c r="T125" s="3"/>
      <c r="U125" s="3">
        <v>4832</v>
      </c>
      <c r="V125" s="3"/>
      <c r="W125" s="3">
        <v>100</v>
      </c>
      <c r="X125" s="3"/>
      <c r="Y125" s="3">
        <f>1389+27898+2659</f>
        <v>31946</v>
      </c>
      <c r="Z125" s="3"/>
      <c r="AA125" s="3">
        <v>4540068</v>
      </c>
      <c r="AB125" s="3"/>
      <c r="AC125" s="20">
        <f t="shared" si="5"/>
        <v>4600887</v>
      </c>
      <c r="AE125" s="3">
        <f t="shared" si="4"/>
        <v>0</v>
      </c>
    </row>
    <row r="126" spans="1:31" s="13" customFormat="1" hidden="1">
      <c r="A126" s="3" t="s">
        <v>307</v>
      </c>
      <c r="C126" s="13" t="s">
        <v>200</v>
      </c>
      <c r="E126" s="3">
        <v>0</v>
      </c>
      <c r="F126" s="3"/>
      <c r="G126" s="3">
        <v>0</v>
      </c>
      <c r="H126" s="3"/>
      <c r="I126" s="7">
        <f t="shared" si="6"/>
        <v>0</v>
      </c>
      <c r="J126" s="3"/>
      <c r="K126" s="3">
        <v>0</v>
      </c>
      <c r="L126" s="3"/>
      <c r="M126" s="7">
        <f t="shared" si="7"/>
        <v>0</v>
      </c>
      <c r="N126" s="3"/>
      <c r="O126" s="3">
        <v>0</v>
      </c>
      <c r="P126" s="3"/>
      <c r="Q126" s="3">
        <v>0</v>
      </c>
      <c r="R126" s="3"/>
      <c r="S126" s="3">
        <v>0</v>
      </c>
      <c r="T126" s="3"/>
      <c r="U126" s="3">
        <v>0</v>
      </c>
      <c r="V126" s="3"/>
      <c r="W126" s="3">
        <v>0</v>
      </c>
      <c r="X126" s="3"/>
      <c r="Y126" s="3">
        <v>0</v>
      </c>
      <c r="Z126" s="3"/>
      <c r="AA126" s="3">
        <v>0</v>
      </c>
      <c r="AB126" s="3"/>
      <c r="AC126" s="20">
        <f t="shared" si="5"/>
        <v>0</v>
      </c>
      <c r="AE126" s="3">
        <f t="shared" si="4"/>
        <v>0</v>
      </c>
    </row>
    <row r="127" spans="1:31" s="13" customFormat="1" hidden="1">
      <c r="A127" s="3" t="s">
        <v>341</v>
      </c>
      <c r="C127" s="13" t="s">
        <v>203</v>
      </c>
      <c r="E127" s="3">
        <v>0</v>
      </c>
      <c r="F127" s="3"/>
      <c r="G127" s="3">
        <v>0</v>
      </c>
      <c r="H127" s="3"/>
      <c r="I127" s="7">
        <f t="shared" si="6"/>
        <v>0</v>
      </c>
      <c r="J127" s="3"/>
      <c r="K127" s="3">
        <v>0</v>
      </c>
      <c r="L127" s="3"/>
      <c r="M127" s="7">
        <f t="shared" si="7"/>
        <v>0</v>
      </c>
      <c r="N127" s="3"/>
      <c r="O127" s="3">
        <v>0</v>
      </c>
      <c r="P127" s="3"/>
      <c r="Q127" s="3">
        <v>0</v>
      </c>
      <c r="R127" s="3"/>
      <c r="S127" s="3">
        <v>0</v>
      </c>
      <c r="T127" s="3"/>
      <c r="U127" s="3">
        <v>0</v>
      </c>
      <c r="V127" s="3"/>
      <c r="W127" s="3">
        <v>0</v>
      </c>
      <c r="X127" s="3"/>
      <c r="Y127" s="3">
        <v>0</v>
      </c>
      <c r="Z127" s="3"/>
      <c r="AA127" s="3">
        <v>0</v>
      </c>
      <c r="AB127" s="3"/>
      <c r="AC127" s="20">
        <f t="shared" si="5"/>
        <v>0</v>
      </c>
      <c r="AE127" s="3">
        <f t="shared" si="4"/>
        <v>0</v>
      </c>
    </row>
    <row r="128" spans="1:31" s="13" customFormat="1" hidden="1">
      <c r="A128" s="3" t="s">
        <v>308</v>
      </c>
      <c r="C128" s="13" t="s">
        <v>204</v>
      </c>
      <c r="E128" s="3">
        <v>0</v>
      </c>
      <c r="F128" s="3"/>
      <c r="G128" s="3">
        <v>0</v>
      </c>
      <c r="H128" s="3"/>
      <c r="I128" s="7">
        <f t="shared" ref="I128" si="12">+K128-G128-E128</f>
        <v>0</v>
      </c>
      <c r="J128" s="3"/>
      <c r="K128" s="3">
        <v>0</v>
      </c>
      <c r="L128" s="3"/>
      <c r="M128" s="7">
        <f t="shared" ref="M128" si="13">+Q128-O128</f>
        <v>0</v>
      </c>
      <c r="N128" s="3"/>
      <c r="O128" s="3">
        <v>0</v>
      </c>
      <c r="P128" s="3"/>
      <c r="Q128" s="3">
        <v>0</v>
      </c>
      <c r="R128" s="3"/>
      <c r="S128" s="3">
        <v>0</v>
      </c>
      <c r="T128" s="3"/>
      <c r="U128" s="3">
        <v>0</v>
      </c>
      <c r="V128" s="3"/>
      <c r="W128" s="3">
        <v>0</v>
      </c>
      <c r="X128" s="3"/>
      <c r="Y128" s="3">
        <v>0</v>
      </c>
      <c r="Z128" s="3"/>
      <c r="AA128" s="3">
        <v>0</v>
      </c>
      <c r="AB128" s="3"/>
      <c r="AC128" s="20">
        <f t="shared" si="5"/>
        <v>0</v>
      </c>
      <c r="AE128" s="3">
        <f t="shared" si="4"/>
        <v>0</v>
      </c>
    </row>
    <row r="129" spans="1:31" s="13" customFormat="1">
      <c r="A129" s="3" t="s">
        <v>201</v>
      </c>
      <c r="C129" s="13" t="s">
        <v>261</v>
      </c>
      <c r="E129" s="3">
        <v>779670</v>
      </c>
      <c r="F129" s="3"/>
      <c r="G129" s="3">
        <v>0</v>
      </c>
      <c r="H129" s="3"/>
      <c r="I129" s="7">
        <f>+K129-G129-E129</f>
        <v>110963</v>
      </c>
      <c r="J129" s="3"/>
      <c r="K129" s="3">
        <v>890633</v>
      </c>
      <c r="L129" s="3"/>
      <c r="M129" s="7">
        <f>+Q129-O129</f>
        <v>500292</v>
      </c>
      <c r="N129" s="3"/>
      <c r="O129" s="3">
        <v>0</v>
      </c>
      <c r="P129" s="3"/>
      <c r="Q129" s="3">
        <v>500292</v>
      </c>
      <c r="R129" s="3"/>
      <c r="S129" s="3">
        <v>0</v>
      </c>
      <c r="T129" s="3"/>
      <c r="U129" s="3">
        <v>1158</v>
      </c>
      <c r="V129" s="3"/>
      <c r="W129" s="3">
        <v>0</v>
      </c>
      <c r="X129" s="3"/>
      <c r="Y129" s="3">
        <v>162940</v>
      </c>
      <c r="Z129" s="3"/>
      <c r="AA129" s="3">
        <v>226243</v>
      </c>
      <c r="AB129" s="3"/>
      <c r="AC129" s="20">
        <f t="shared" si="5"/>
        <v>390341</v>
      </c>
      <c r="AE129" s="3">
        <f t="shared" si="4"/>
        <v>0</v>
      </c>
    </row>
    <row r="130" spans="1:31" s="13" customFormat="1">
      <c r="A130" s="3" t="s">
        <v>340</v>
      </c>
      <c r="C130" s="13" t="s">
        <v>206</v>
      </c>
      <c r="E130" s="3">
        <v>5490249</v>
      </c>
      <c r="F130" s="3"/>
      <c r="G130" s="3">
        <v>0</v>
      </c>
      <c r="H130" s="3"/>
      <c r="I130" s="7">
        <f t="shared" si="6"/>
        <v>495430</v>
      </c>
      <c r="J130" s="3"/>
      <c r="K130" s="3">
        <v>5985679</v>
      </c>
      <c r="L130" s="3"/>
      <c r="M130" s="7">
        <f t="shared" si="7"/>
        <v>1644118</v>
      </c>
      <c r="N130" s="3"/>
      <c r="O130" s="3">
        <v>249373</v>
      </c>
      <c r="P130" s="3"/>
      <c r="Q130" s="3">
        <v>1893491</v>
      </c>
      <c r="R130" s="3"/>
      <c r="S130" s="3">
        <v>1587</v>
      </c>
      <c r="T130" s="3"/>
      <c r="U130" s="3">
        <v>2193753</v>
      </c>
      <c r="V130" s="3"/>
      <c r="W130" s="3">
        <v>0</v>
      </c>
      <c r="X130" s="3"/>
      <c r="Y130" s="3">
        <v>54669</v>
      </c>
      <c r="Z130" s="3"/>
      <c r="AA130" s="3">
        <v>1842179</v>
      </c>
      <c r="AB130" s="3"/>
      <c r="AC130" s="20">
        <f t="shared" si="5"/>
        <v>4092188</v>
      </c>
      <c r="AE130" s="3">
        <f t="shared" si="4"/>
        <v>0</v>
      </c>
    </row>
    <row r="131" spans="1:31" s="13" customFormat="1">
      <c r="A131" s="3"/>
    </row>
    <row r="132" spans="1:31" s="13" customFormat="1"/>
    <row r="133" spans="1:31" s="13" customFormat="1"/>
    <row r="137" spans="1:31">
      <c r="E137" s="3"/>
      <c r="F137" s="3"/>
      <c r="G137" s="3"/>
      <c r="H137" s="3"/>
      <c r="I137" s="7"/>
      <c r="J137" s="3"/>
      <c r="K137" s="3"/>
      <c r="L137" s="3"/>
      <c r="M137" s="7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20"/>
    </row>
  </sheetData>
  <mergeCells count="3">
    <mergeCell ref="E7:I7"/>
    <mergeCell ref="M7:O7"/>
    <mergeCell ref="S7:AA7"/>
  </mergeCells>
  <phoneticPr fontId="3" type="noConversion"/>
  <pageMargins left="0.9" right="0.75" top="0.5" bottom="0.5" header="0.25" footer="0.25"/>
  <pageSetup scale="80" firstPageNumber="46" pageOrder="overThenDown" orientation="portrait" useFirstPageNumber="1" r:id="rId1"/>
  <headerFooter scaleWithDoc="0" alignWithMargins="0"/>
  <rowBreaks count="1" manualBreakCount="1">
    <brk id="66" max="30" man="1"/>
  </rowBreaks>
  <colBreaks count="1" manualBreakCount="1">
    <brk id="12" max="1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3"/>
  <sheetViews>
    <sheetView view="pageBreakPreview" zoomScaleNormal="100" zoomScaleSheetLayoutView="100" workbookViewId="0">
      <pane xSplit="4" ySplit="11" topLeftCell="E12" activePane="bottomRight" state="frozen"/>
      <selection activeCell="M146" sqref="M146"/>
      <selection pane="topRight" activeCell="M146" sqref="M146"/>
      <selection pane="bottomLeft" activeCell="M146" sqref="M146"/>
      <selection pane="bottomRight" activeCell="A3" sqref="A3"/>
    </sheetView>
  </sheetViews>
  <sheetFormatPr defaultRowHeight="12"/>
  <cols>
    <col min="1" max="1" width="40.7109375" style="24" customWidth="1"/>
    <col min="2" max="2" width="1.7109375" style="24" customWidth="1"/>
    <col min="3" max="3" width="11.7109375" style="24" customWidth="1"/>
    <col min="4" max="4" width="1.7109375" style="24" customWidth="1"/>
    <col min="5" max="5" width="10.7109375" style="24" customWidth="1"/>
    <col min="6" max="6" width="1.28515625" style="24" customWidth="1"/>
    <col min="7" max="7" width="10.7109375" style="24" customWidth="1"/>
    <col min="8" max="8" width="1.7109375" style="24" customWidth="1"/>
    <col min="9" max="9" width="10.7109375" style="24" customWidth="1"/>
    <col min="10" max="10" width="1.7109375" style="24" customWidth="1"/>
    <col min="11" max="11" width="10.7109375" style="24" customWidth="1"/>
    <col min="12" max="12" width="1.7109375" style="24" customWidth="1"/>
    <col min="13" max="13" width="11.7109375" style="24" customWidth="1"/>
    <col min="14" max="14" width="1.7109375" style="24" customWidth="1"/>
    <col min="15" max="15" width="11.7109375" style="24" customWidth="1"/>
    <col min="16" max="16" width="1.7109375" style="24" customWidth="1"/>
    <col min="17" max="17" width="11.7109375" style="24" customWidth="1"/>
    <col min="18" max="18" width="1.7109375" style="24" customWidth="1"/>
    <col min="19" max="19" width="11.7109375" style="24" customWidth="1"/>
    <col min="20" max="20" width="1.7109375" style="24" customWidth="1"/>
    <col min="21" max="21" width="11.7109375" style="24" customWidth="1"/>
    <col min="22" max="22" width="1.7109375" style="24" customWidth="1"/>
    <col min="23" max="23" width="11.7109375" style="24" customWidth="1"/>
    <col min="24" max="24" width="1.28515625" style="24" customWidth="1"/>
    <col min="25" max="25" width="11.7109375" style="24" customWidth="1"/>
    <col min="26" max="26" width="1.28515625" style="24" customWidth="1"/>
    <col min="27" max="27" width="11.7109375" style="24" customWidth="1"/>
    <col min="28" max="28" width="1.7109375" style="24" hidden="1" customWidth="1"/>
    <col min="29" max="29" width="11.7109375" style="24" hidden="1" customWidth="1"/>
    <col min="30" max="30" width="44.85546875" style="24" customWidth="1"/>
    <col min="31" max="31" width="1.7109375" style="24" customWidth="1"/>
    <col min="32" max="32" width="10.140625" style="24" bestFit="1" customWidth="1"/>
    <col min="33" max="33" width="1.7109375" style="24" customWidth="1"/>
    <col min="34" max="34" width="10.7109375" style="24" customWidth="1"/>
    <col min="35" max="35" width="1.7109375" style="24" customWidth="1"/>
    <col min="36" max="36" width="12.7109375" style="24" customWidth="1"/>
    <col min="37" max="37" width="1.7109375" style="24" hidden="1" customWidth="1"/>
    <col min="38" max="38" width="11.7109375" style="24" hidden="1" customWidth="1"/>
    <col min="39" max="39" width="1.85546875" style="24" customWidth="1"/>
    <col min="40" max="40" width="12.28515625" style="24" customWidth="1"/>
    <col min="41" max="41" width="1.7109375" style="24" customWidth="1"/>
    <col min="42" max="42" width="11.140625" style="24" customWidth="1"/>
    <col min="43" max="43" width="2.140625" style="24" customWidth="1"/>
    <col min="44" max="44" width="11.7109375" style="24" customWidth="1"/>
    <col min="45" max="45" width="2.140625" style="24" customWidth="1"/>
    <col min="46" max="46" width="14.42578125" style="24" customWidth="1"/>
    <col min="47" max="16384" width="9.140625" style="24"/>
  </cols>
  <sheetData>
    <row r="1" spans="1:46" s="6" customFormat="1">
      <c r="A1" s="4" t="s">
        <v>127</v>
      </c>
      <c r="B1" s="4"/>
      <c r="C1" s="4"/>
      <c r="D1" s="33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7"/>
      <c r="AC1" s="37"/>
      <c r="AD1" s="4" t="s">
        <v>127</v>
      </c>
      <c r="AE1" s="4"/>
      <c r="AF1" s="4"/>
      <c r="AG1" s="37"/>
      <c r="AH1" s="37"/>
      <c r="AI1" s="37"/>
      <c r="AJ1" s="37"/>
      <c r="AK1" s="37"/>
      <c r="AL1" s="37"/>
      <c r="AM1" s="37"/>
      <c r="AN1" s="37"/>
    </row>
    <row r="2" spans="1:46" s="6" customFormat="1">
      <c r="A2" s="4" t="s">
        <v>351</v>
      </c>
      <c r="B2" s="4"/>
      <c r="C2" s="4"/>
      <c r="D2" s="33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7"/>
      <c r="AC2" s="37"/>
      <c r="AD2" s="4" t="s">
        <v>351</v>
      </c>
      <c r="AE2" s="4"/>
      <c r="AF2" s="4"/>
      <c r="AG2" s="37"/>
      <c r="AH2" s="37"/>
      <c r="AI2" s="37"/>
      <c r="AJ2" s="37"/>
      <c r="AK2" s="37"/>
      <c r="AL2" s="37"/>
      <c r="AM2" s="37"/>
      <c r="AN2" s="37"/>
    </row>
    <row r="3" spans="1:46" s="3" customFormat="1">
      <c r="A3" s="28"/>
      <c r="B3" s="5"/>
      <c r="C3" s="5"/>
      <c r="D3" s="1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4"/>
      <c r="AC3" s="14"/>
      <c r="AD3" s="28"/>
      <c r="AE3" s="5"/>
      <c r="AF3" s="5"/>
      <c r="AG3" s="14"/>
      <c r="AH3" s="14"/>
      <c r="AI3" s="14"/>
      <c r="AJ3" s="14"/>
      <c r="AK3" s="14"/>
      <c r="AL3" s="14"/>
      <c r="AM3" s="14"/>
      <c r="AN3" s="14"/>
    </row>
    <row r="4" spans="1:46" s="3" customFormat="1">
      <c r="A4" s="6" t="s">
        <v>260</v>
      </c>
      <c r="B4" s="4"/>
      <c r="C4" s="4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4"/>
      <c r="AC4" s="14"/>
      <c r="AD4" s="6" t="s">
        <v>260</v>
      </c>
      <c r="AE4" s="4"/>
      <c r="AF4" s="4"/>
      <c r="AG4" s="14"/>
      <c r="AH4" s="14"/>
      <c r="AI4" s="14"/>
      <c r="AJ4" s="14"/>
      <c r="AK4" s="14"/>
      <c r="AL4" s="14"/>
      <c r="AM4" s="14"/>
      <c r="AN4" s="10"/>
    </row>
    <row r="5" spans="1:46" s="3" customFormat="1">
      <c r="A5" s="16"/>
      <c r="B5" s="4"/>
      <c r="C5" s="4"/>
      <c r="D5" s="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4"/>
      <c r="AC5" s="14"/>
      <c r="AD5" s="16"/>
      <c r="AE5" s="4"/>
      <c r="AF5" s="4"/>
      <c r="AG5" s="14"/>
      <c r="AH5" s="14"/>
      <c r="AI5" s="14"/>
      <c r="AJ5" s="14"/>
      <c r="AK5" s="14"/>
      <c r="AL5" s="14"/>
      <c r="AM5" s="14"/>
      <c r="AN5" s="10"/>
    </row>
    <row r="6" spans="1:46" s="6" customFormat="1">
      <c r="A6" s="26" t="s">
        <v>317</v>
      </c>
      <c r="B6" s="5"/>
      <c r="C6" s="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AD6" s="26" t="s">
        <v>317</v>
      </c>
      <c r="AE6" s="5"/>
      <c r="AF6" s="5"/>
      <c r="AN6" s="2"/>
      <c r="AT6" s="10" t="s">
        <v>8</v>
      </c>
    </row>
    <row r="7" spans="1:46" s="10" customForma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4" t="s">
        <v>98</v>
      </c>
      <c r="X7" s="34"/>
      <c r="Y7" s="34"/>
      <c r="Z7" s="34"/>
      <c r="AA7" s="34"/>
      <c r="AB7" s="34"/>
      <c r="AC7" s="34"/>
      <c r="AE7" s="2"/>
      <c r="AF7" s="2"/>
      <c r="AG7" s="5"/>
      <c r="AH7" s="70" t="s">
        <v>346</v>
      </c>
      <c r="AI7" s="70"/>
      <c r="AJ7" s="70"/>
      <c r="AK7" s="70"/>
      <c r="AL7" s="70"/>
      <c r="AM7" s="70"/>
      <c r="AN7" s="70"/>
      <c r="AR7" s="10" t="s">
        <v>8</v>
      </c>
      <c r="AT7" s="10" t="s">
        <v>274</v>
      </c>
    </row>
    <row r="8" spans="1:46" s="10" customForma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28</v>
      </c>
      <c r="N8" s="2"/>
      <c r="O8" s="2" t="s">
        <v>99</v>
      </c>
      <c r="P8" s="2"/>
      <c r="Q8" s="2" t="s">
        <v>30</v>
      </c>
      <c r="R8" s="2"/>
      <c r="S8" s="2"/>
      <c r="T8" s="2"/>
      <c r="U8" s="2"/>
      <c r="V8" s="2"/>
      <c r="AE8" s="2"/>
      <c r="AF8" s="2"/>
      <c r="AH8" s="10" t="s">
        <v>232</v>
      </c>
      <c r="AJ8" s="10" t="s">
        <v>223</v>
      </c>
      <c r="AL8" s="10" t="s">
        <v>228</v>
      </c>
      <c r="AN8" s="10" t="s">
        <v>69</v>
      </c>
      <c r="AR8" s="10" t="s">
        <v>84</v>
      </c>
      <c r="AT8" s="10" t="s">
        <v>275</v>
      </c>
    </row>
    <row r="9" spans="1:46" s="10" customFormat="1">
      <c r="A9" s="2"/>
      <c r="B9" s="2"/>
      <c r="C9" s="2"/>
      <c r="D9" s="2"/>
      <c r="E9" s="2" t="s">
        <v>34</v>
      </c>
      <c r="F9" s="2"/>
      <c r="G9" s="2" t="s">
        <v>100</v>
      </c>
      <c r="H9" s="2"/>
      <c r="I9" s="2"/>
      <c r="J9" s="2"/>
      <c r="K9" s="2" t="s">
        <v>37</v>
      </c>
      <c r="L9" s="2"/>
      <c r="M9" s="2" t="s">
        <v>38</v>
      </c>
      <c r="N9" s="2"/>
      <c r="O9" s="2" t="s">
        <v>101</v>
      </c>
      <c r="P9" s="2"/>
      <c r="Q9" s="2" t="s">
        <v>40</v>
      </c>
      <c r="R9" s="2"/>
      <c r="S9" s="2" t="s">
        <v>69</v>
      </c>
      <c r="T9" s="2"/>
      <c r="U9" s="2" t="s">
        <v>8</v>
      </c>
      <c r="V9" s="2"/>
      <c r="W9" s="2"/>
      <c r="X9" s="2"/>
      <c r="Y9" s="10" t="s">
        <v>102</v>
      </c>
      <c r="AA9" s="10" t="s">
        <v>103</v>
      </c>
      <c r="AD9" s="2"/>
      <c r="AE9" s="2"/>
      <c r="AF9" s="2"/>
      <c r="AH9" s="10" t="s">
        <v>233</v>
      </c>
      <c r="AJ9" s="10" t="s">
        <v>225</v>
      </c>
      <c r="AL9" s="10" t="s">
        <v>229</v>
      </c>
      <c r="AN9" s="10" t="s">
        <v>104</v>
      </c>
      <c r="AP9" s="10" t="s">
        <v>352</v>
      </c>
      <c r="AR9" s="10" t="s">
        <v>104</v>
      </c>
      <c r="AT9" s="10" t="s">
        <v>355</v>
      </c>
    </row>
    <row r="10" spans="1:46" s="10" customFormat="1">
      <c r="A10" s="57" t="s">
        <v>282</v>
      </c>
      <c r="C10" s="57" t="s">
        <v>12</v>
      </c>
      <c r="D10" s="2"/>
      <c r="E10" s="57" t="s">
        <v>46</v>
      </c>
      <c r="F10" s="2"/>
      <c r="G10" s="57" t="s">
        <v>105</v>
      </c>
      <c r="H10" s="2"/>
      <c r="I10" s="57" t="s">
        <v>85</v>
      </c>
      <c r="J10" s="2"/>
      <c r="K10" s="57" t="s">
        <v>49</v>
      </c>
      <c r="L10" s="2"/>
      <c r="M10" s="57" t="s">
        <v>50</v>
      </c>
      <c r="N10" s="2"/>
      <c r="O10" s="57" t="s">
        <v>106</v>
      </c>
      <c r="P10" s="2"/>
      <c r="Q10" s="57" t="s">
        <v>51</v>
      </c>
      <c r="R10" s="2"/>
      <c r="S10" s="57" t="s">
        <v>95</v>
      </c>
      <c r="T10" s="2"/>
      <c r="U10" s="57" t="s">
        <v>31</v>
      </c>
      <c r="V10" s="2"/>
      <c r="W10" s="57" t="s">
        <v>107</v>
      </c>
      <c r="X10" s="2"/>
      <c r="Y10" s="57" t="s">
        <v>109</v>
      </c>
      <c r="AA10" s="57" t="s">
        <v>109</v>
      </c>
      <c r="AC10" s="57" t="s">
        <v>108</v>
      </c>
      <c r="AD10" s="57" t="s">
        <v>282</v>
      </c>
      <c r="AF10" s="57" t="s">
        <v>12</v>
      </c>
      <c r="AG10" s="2"/>
      <c r="AH10" s="57" t="s">
        <v>224</v>
      </c>
      <c r="AJ10" s="57" t="s">
        <v>17</v>
      </c>
      <c r="AL10" s="10" t="s">
        <v>116</v>
      </c>
      <c r="AN10" s="57" t="s">
        <v>110</v>
      </c>
      <c r="AP10" s="57" t="s">
        <v>239</v>
      </c>
      <c r="AR10" s="57" t="s">
        <v>110</v>
      </c>
      <c r="AT10" s="57" t="s">
        <v>239</v>
      </c>
    </row>
    <row r="11" spans="1:46" s="10" customFormat="1">
      <c r="A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AA11" s="2"/>
      <c r="AC11" s="2"/>
      <c r="AD11" s="2"/>
      <c r="AF11" s="2"/>
      <c r="AG11" s="2"/>
      <c r="AH11" s="2"/>
      <c r="AJ11" s="2"/>
      <c r="AN11" s="2"/>
      <c r="AP11" s="2"/>
      <c r="AR11" s="2"/>
      <c r="AT11" s="2"/>
    </row>
    <row r="12" spans="1:46">
      <c r="A12" s="29" t="s">
        <v>255</v>
      </c>
      <c r="AD12" s="29" t="s">
        <v>255</v>
      </c>
    </row>
    <row r="13" spans="1:46">
      <c r="A13" s="29"/>
      <c r="AD13" s="29"/>
    </row>
    <row r="14" spans="1:46">
      <c r="A14" s="3" t="s">
        <v>288</v>
      </c>
      <c r="B14" s="3"/>
      <c r="C14" s="3" t="s">
        <v>263</v>
      </c>
      <c r="E14" s="60">
        <v>3475412</v>
      </c>
      <c r="F14" s="60"/>
      <c r="G14" s="60">
        <v>7128042</v>
      </c>
      <c r="H14" s="60"/>
      <c r="I14" s="60">
        <v>78263</v>
      </c>
      <c r="J14" s="60"/>
      <c r="K14" s="60">
        <f>657400+366548</f>
        <v>1023948</v>
      </c>
      <c r="L14" s="60"/>
      <c r="M14" s="60">
        <v>0</v>
      </c>
      <c r="N14" s="60"/>
      <c r="O14" s="60">
        <v>0</v>
      </c>
      <c r="P14" s="60"/>
      <c r="Q14" s="60">
        <v>0</v>
      </c>
      <c r="R14" s="60"/>
      <c r="S14" s="60">
        <v>119580</v>
      </c>
      <c r="T14" s="60"/>
      <c r="U14" s="63">
        <f t="shared" ref="U14:U45" si="0">SUM(E14:T14)</f>
        <v>11825245</v>
      </c>
      <c r="V14" s="60"/>
      <c r="W14" s="60">
        <v>0</v>
      </c>
      <c r="X14" s="60"/>
      <c r="Y14" s="60">
        <v>0</v>
      </c>
      <c r="Z14" s="60"/>
      <c r="AA14" s="60">
        <v>0</v>
      </c>
      <c r="AB14" s="60"/>
      <c r="AC14" s="60">
        <v>0</v>
      </c>
      <c r="AD14" s="3" t="s">
        <v>288</v>
      </c>
      <c r="AE14" s="3"/>
      <c r="AF14" s="3" t="s">
        <v>263</v>
      </c>
      <c r="AG14" s="60"/>
      <c r="AH14" s="60">
        <v>0</v>
      </c>
      <c r="AI14" s="60"/>
      <c r="AJ14" s="60">
        <v>0</v>
      </c>
      <c r="AK14" s="60"/>
      <c r="AL14" s="60">
        <v>0</v>
      </c>
      <c r="AM14" s="60"/>
      <c r="AN14" s="60">
        <v>0</v>
      </c>
      <c r="AO14" s="60"/>
      <c r="AP14" s="60">
        <v>0</v>
      </c>
      <c r="AQ14" s="60"/>
      <c r="AR14" s="63">
        <f t="shared" ref="AR14:AR45" si="1">SUM(W14:AP14)</f>
        <v>0</v>
      </c>
      <c r="AS14" s="60"/>
      <c r="AT14" s="63">
        <f t="shared" ref="AT14:AT45" si="2">+AR14+U14</f>
        <v>11825245</v>
      </c>
    </row>
    <row r="15" spans="1:46" s="17" customFormat="1">
      <c r="A15" s="3" t="s">
        <v>241</v>
      </c>
      <c r="C15" s="17" t="s">
        <v>145</v>
      </c>
      <c r="E15" s="14">
        <v>2291543</v>
      </c>
      <c r="F15" s="14"/>
      <c r="G15" s="14">
        <v>3986628</v>
      </c>
      <c r="H15" s="14"/>
      <c r="I15" s="14">
        <v>10419</v>
      </c>
      <c r="J15" s="14"/>
      <c r="K15" s="14">
        <f>770800+3025+79680</f>
        <v>853505</v>
      </c>
      <c r="L15" s="14"/>
      <c r="M15" s="14">
        <v>0</v>
      </c>
      <c r="N15" s="14"/>
      <c r="O15" s="14">
        <v>0</v>
      </c>
      <c r="P15" s="14"/>
      <c r="Q15" s="14">
        <v>975</v>
      </c>
      <c r="R15" s="14"/>
      <c r="S15" s="14">
        <v>20766</v>
      </c>
      <c r="T15" s="14"/>
      <c r="U15" s="21">
        <f t="shared" si="0"/>
        <v>7163836</v>
      </c>
      <c r="V15" s="14"/>
      <c r="W15" s="14">
        <v>25000</v>
      </c>
      <c r="X15" s="14"/>
      <c r="Y15" s="14">
        <v>0</v>
      </c>
      <c r="Z15" s="14"/>
      <c r="AA15" s="14">
        <v>0</v>
      </c>
      <c r="AB15" s="14"/>
      <c r="AC15" s="14">
        <v>0</v>
      </c>
      <c r="AD15" s="3" t="s">
        <v>241</v>
      </c>
      <c r="AF15" s="17" t="s">
        <v>145</v>
      </c>
      <c r="AG15" s="60"/>
      <c r="AH15" s="14">
        <v>0</v>
      </c>
      <c r="AI15" s="14"/>
      <c r="AJ15" s="14">
        <v>0</v>
      </c>
      <c r="AK15" s="14"/>
      <c r="AL15" s="14">
        <v>0</v>
      </c>
      <c r="AM15" s="14"/>
      <c r="AN15" s="14">
        <v>0</v>
      </c>
      <c r="AO15" s="14"/>
      <c r="AP15" s="14">
        <v>0</v>
      </c>
      <c r="AQ15" s="14"/>
      <c r="AR15" s="21">
        <f t="shared" si="1"/>
        <v>25000</v>
      </c>
      <c r="AS15" s="14"/>
      <c r="AT15" s="21">
        <f t="shared" si="2"/>
        <v>7188836</v>
      </c>
    </row>
    <row r="16" spans="1:46" s="13" customFormat="1">
      <c r="A16" s="3" t="s">
        <v>356</v>
      </c>
      <c r="C16" s="13" t="s">
        <v>146</v>
      </c>
      <c r="E16" s="14">
        <v>4151798</v>
      </c>
      <c r="F16" s="14"/>
      <c r="G16" s="14">
        <v>9186812</v>
      </c>
      <c r="H16" s="14"/>
      <c r="I16" s="14">
        <v>29487</v>
      </c>
      <c r="J16" s="14"/>
      <c r="K16" s="14">
        <f>501085+705762+4080</f>
        <v>1210927</v>
      </c>
      <c r="L16" s="14"/>
      <c r="M16" s="14">
        <v>17441</v>
      </c>
      <c r="N16" s="14"/>
      <c r="O16" s="14">
        <v>0</v>
      </c>
      <c r="P16" s="14"/>
      <c r="Q16" s="14">
        <v>16662</v>
      </c>
      <c r="R16" s="14"/>
      <c r="S16" s="14">
        <v>112435</v>
      </c>
      <c r="T16" s="14"/>
      <c r="U16" s="21">
        <f t="shared" si="0"/>
        <v>14725562</v>
      </c>
      <c r="V16" s="14"/>
      <c r="W16" s="14">
        <v>500000</v>
      </c>
      <c r="X16" s="14"/>
      <c r="Y16" s="14">
        <v>0</v>
      </c>
      <c r="Z16" s="14"/>
      <c r="AA16" s="14">
        <v>0</v>
      </c>
      <c r="AB16" s="14"/>
      <c r="AC16" s="14">
        <v>0</v>
      </c>
      <c r="AD16" s="3" t="s">
        <v>356</v>
      </c>
      <c r="AF16" s="13" t="s">
        <v>146</v>
      </c>
      <c r="AG16" s="14"/>
      <c r="AH16" s="14">
        <v>0</v>
      </c>
      <c r="AI16" s="14"/>
      <c r="AJ16" s="14">
        <v>0</v>
      </c>
      <c r="AK16" s="14"/>
      <c r="AL16" s="14">
        <v>0</v>
      </c>
      <c r="AM16" s="14"/>
      <c r="AN16" s="14">
        <v>0</v>
      </c>
      <c r="AO16" s="14"/>
      <c r="AP16" s="14">
        <v>0</v>
      </c>
      <c r="AQ16" s="14"/>
      <c r="AR16" s="21">
        <f t="shared" si="1"/>
        <v>500000</v>
      </c>
      <c r="AS16" s="14"/>
      <c r="AT16" s="21">
        <f t="shared" si="2"/>
        <v>15225562</v>
      </c>
    </row>
    <row r="17" spans="1:46" s="13" customFormat="1">
      <c r="A17" s="3" t="s">
        <v>294</v>
      </c>
      <c r="C17" s="13" t="s">
        <v>148</v>
      </c>
      <c r="E17" s="3">
        <v>6408411</v>
      </c>
      <c r="F17" s="3"/>
      <c r="G17" s="3">
        <v>3925930</v>
      </c>
      <c r="H17" s="3"/>
      <c r="I17" s="3">
        <v>18553</v>
      </c>
      <c r="J17" s="3"/>
      <c r="K17" s="3">
        <f>654639+62123+124470</f>
        <v>841232</v>
      </c>
      <c r="L17" s="3"/>
      <c r="M17" s="3">
        <v>620</v>
      </c>
      <c r="N17" s="3"/>
      <c r="O17" s="3">
        <v>0</v>
      </c>
      <c r="P17" s="3"/>
      <c r="Q17" s="3">
        <v>1926</v>
      </c>
      <c r="R17" s="3"/>
      <c r="S17" s="3">
        <v>190881</v>
      </c>
      <c r="T17" s="3"/>
      <c r="U17" s="21">
        <f t="shared" si="0"/>
        <v>11387553</v>
      </c>
      <c r="V17" s="3"/>
      <c r="W17" s="3">
        <v>77500</v>
      </c>
      <c r="X17" s="3"/>
      <c r="Y17" s="3">
        <v>0</v>
      </c>
      <c r="Z17" s="3"/>
      <c r="AA17" s="3">
        <v>2800000</v>
      </c>
      <c r="AB17" s="3"/>
      <c r="AC17" s="3">
        <v>0</v>
      </c>
      <c r="AD17" s="3" t="s">
        <v>294</v>
      </c>
      <c r="AF17" s="13" t="s">
        <v>148</v>
      </c>
      <c r="AG17" s="3"/>
      <c r="AH17" s="3">
        <v>0</v>
      </c>
      <c r="AI17" s="3"/>
      <c r="AJ17" s="3">
        <v>0</v>
      </c>
      <c r="AK17" s="3"/>
      <c r="AL17" s="3">
        <v>0</v>
      </c>
      <c r="AM17" s="3"/>
      <c r="AN17" s="3">
        <v>0</v>
      </c>
      <c r="AO17" s="3"/>
      <c r="AP17" s="3">
        <v>0</v>
      </c>
      <c r="AQ17" s="3"/>
      <c r="AR17" s="21">
        <f t="shared" si="1"/>
        <v>2877500</v>
      </c>
      <c r="AS17" s="27"/>
      <c r="AT17" s="21">
        <f t="shared" si="2"/>
        <v>14265053</v>
      </c>
    </row>
    <row r="18" spans="1:46" s="13" customFormat="1">
      <c r="A18" s="3" t="s">
        <v>295</v>
      </c>
      <c r="C18" s="13" t="s">
        <v>151</v>
      </c>
      <c r="E18" s="14">
        <v>1560007</v>
      </c>
      <c r="F18" s="14"/>
      <c r="G18" s="14">
        <v>4913962</v>
      </c>
      <c r="H18" s="14"/>
      <c r="I18" s="14">
        <v>5944</v>
      </c>
      <c r="J18" s="14"/>
      <c r="K18" s="14">
        <v>99296</v>
      </c>
      <c r="L18" s="14"/>
      <c r="M18" s="14">
        <v>7321</v>
      </c>
      <c r="N18" s="14"/>
      <c r="O18" s="14">
        <v>21833</v>
      </c>
      <c r="P18" s="14"/>
      <c r="Q18" s="14">
        <v>0</v>
      </c>
      <c r="R18" s="14"/>
      <c r="S18" s="14">
        <f>14690+70429+12000</f>
        <v>97119</v>
      </c>
      <c r="T18" s="14"/>
      <c r="U18" s="21">
        <f t="shared" si="0"/>
        <v>6705482</v>
      </c>
      <c r="V18" s="14"/>
      <c r="W18" s="14">
        <v>0</v>
      </c>
      <c r="X18" s="14"/>
      <c r="Y18" s="14">
        <v>0</v>
      </c>
      <c r="Z18" s="14"/>
      <c r="AA18" s="14">
        <v>0</v>
      </c>
      <c r="AB18" s="14"/>
      <c r="AC18" s="14">
        <v>0</v>
      </c>
      <c r="AD18" s="3" t="s">
        <v>295</v>
      </c>
      <c r="AF18" s="13" t="s">
        <v>151</v>
      </c>
      <c r="AG18" s="14"/>
      <c r="AH18" s="14">
        <v>0</v>
      </c>
      <c r="AI18" s="14"/>
      <c r="AJ18" s="14">
        <v>6324</v>
      </c>
      <c r="AK18" s="14"/>
      <c r="AL18" s="14">
        <v>0</v>
      </c>
      <c r="AM18" s="14"/>
      <c r="AN18" s="14">
        <v>0</v>
      </c>
      <c r="AO18" s="14"/>
      <c r="AP18" s="14">
        <v>0</v>
      </c>
      <c r="AQ18" s="14"/>
      <c r="AR18" s="21">
        <f t="shared" si="1"/>
        <v>6324</v>
      </c>
      <c r="AS18" s="14"/>
      <c r="AT18" s="21">
        <f t="shared" si="2"/>
        <v>6711806</v>
      </c>
    </row>
    <row r="19" spans="1:46" s="13" customFormat="1">
      <c r="A19" s="3" t="s">
        <v>222</v>
      </c>
      <c r="C19" s="13" t="s">
        <v>200</v>
      </c>
      <c r="E19" s="14">
        <v>4587728</v>
      </c>
      <c r="F19" s="14"/>
      <c r="G19" s="14">
        <f>7748223+1013847</f>
        <v>8762070</v>
      </c>
      <c r="H19" s="14"/>
      <c r="I19" s="14">
        <v>83146</v>
      </c>
      <c r="J19" s="14"/>
      <c r="K19" s="14">
        <f>967822+59375</f>
        <v>1027197</v>
      </c>
      <c r="L19" s="14"/>
      <c r="M19" s="14">
        <v>0</v>
      </c>
      <c r="N19" s="14"/>
      <c r="O19" s="14">
        <v>0</v>
      </c>
      <c r="P19" s="14"/>
      <c r="Q19" s="14">
        <v>0</v>
      </c>
      <c r="R19" s="14"/>
      <c r="S19" s="14">
        <f>325466+231603+216115</f>
        <v>773184</v>
      </c>
      <c r="T19" s="14"/>
      <c r="U19" s="21">
        <f t="shared" si="0"/>
        <v>15233325</v>
      </c>
      <c r="V19" s="14"/>
      <c r="W19" s="14">
        <v>50000</v>
      </c>
      <c r="X19" s="14"/>
      <c r="Y19" s="14">
        <v>0</v>
      </c>
      <c r="Z19" s="14"/>
      <c r="AA19" s="14">
        <v>0</v>
      </c>
      <c r="AB19" s="14"/>
      <c r="AC19" s="14">
        <v>0</v>
      </c>
      <c r="AD19" s="3" t="s">
        <v>222</v>
      </c>
      <c r="AF19" s="13" t="s">
        <v>200</v>
      </c>
      <c r="AG19" s="14"/>
      <c r="AH19" s="14">
        <v>0</v>
      </c>
      <c r="AI19" s="14"/>
      <c r="AJ19" s="14">
        <v>0</v>
      </c>
      <c r="AK19" s="14"/>
      <c r="AL19" s="14">
        <v>0</v>
      </c>
      <c r="AM19" s="14"/>
      <c r="AN19" s="14">
        <v>0</v>
      </c>
      <c r="AO19" s="14"/>
      <c r="AP19" s="14">
        <v>0</v>
      </c>
      <c r="AQ19" s="14"/>
      <c r="AR19" s="21">
        <f t="shared" si="1"/>
        <v>50000</v>
      </c>
      <c r="AS19" s="14"/>
      <c r="AT19" s="21">
        <f t="shared" si="2"/>
        <v>15283325</v>
      </c>
    </row>
    <row r="20" spans="1:46" s="13" customFormat="1">
      <c r="A20" s="3" t="s">
        <v>366</v>
      </c>
      <c r="C20" s="13" t="s">
        <v>149</v>
      </c>
      <c r="E20" s="14">
        <v>14319641</v>
      </c>
      <c r="F20" s="14"/>
      <c r="G20" s="14">
        <v>26025262</v>
      </c>
      <c r="H20" s="14"/>
      <c r="I20" s="14">
        <v>69684</v>
      </c>
      <c r="J20" s="14"/>
      <c r="K20" s="14">
        <v>747031</v>
      </c>
      <c r="L20" s="14"/>
      <c r="M20" s="14">
        <v>0</v>
      </c>
      <c r="N20" s="14"/>
      <c r="O20" s="14">
        <v>0</v>
      </c>
      <c r="P20" s="14"/>
      <c r="Q20" s="14">
        <v>0</v>
      </c>
      <c r="R20" s="14"/>
      <c r="S20" s="14">
        <v>159161</v>
      </c>
      <c r="T20" s="14"/>
      <c r="U20" s="21">
        <f t="shared" si="0"/>
        <v>41320779</v>
      </c>
      <c r="V20" s="14"/>
      <c r="W20" s="14">
        <v>2141181</v>
      </c>
      <c r="X20" s="14"/>
      <c r="Y20" s="14">
        <v>27790</v>
      </c>
      <c r="Z20" s="14"/>
      <c r="AA20" s="14">
        <v>0</v>
      </c>
      <c r="AB20" s="14"/>
      <c r="AC20" s="14">
        <v>0</v>
      </c>
      <c r="AD20" s="3" t="s">
        <v>366</v>
      </c>
      <c r="AF20" s="13" t="s">
        <v>149</v>
      </c>
      <c r="AG20" s="14"/>
      <c r="AH20" s="14">
        <v>0</v>
      </c>
      <c r="AI20" s="14"/>
      <c r="AJ20" s="14">
        <v>0</v>
      </c>
      <c r="AK20" s="14"/>
      <c r="AL20" s="14">
        <v>0</v>
      </c>
      <c r="AM20" s="14"/>
      <c r="AN20" s="14">
        <v>0</v>
      </c>
      <c r="AO20" s="14"/>
      <c r="AP20" s="14">
        <v>0</v>
      </c>
      <c r="AQ20" s="14"/>
      <c r="AR20" s="21">
        <f t="shared" si="1"/>
        <v>2168971</v>
      </c>
      <c r="AS20" s="14"/>
      <c r="AT20" s="21">
        <f t="shared" si="2"/>
        <v>43489750</v>
      </c>
    </row>
    <row r="21" spans="1:46" s="13" customFormat="1">
      <c r="A21" s="3" t="s">
        <v>278</v>
      </c>
      <c r="C21" s="13" t="s">
        <v>175</v>
      </c>
      <c r="E21" s="14">
        <v>8264800</v>
      </c>
      <c r="F21" s="14"/>
      <c r="G21" s="14">
        <v>7001654</v>
      </c>
      <c r="H21" s="14"/>
      <c r="I21" s="14">
        <v>12978</v>
      </c>
      <c r="J21" s="14"/>
      <c r="K21" s="14">
        <f>1909884+272692</f>
        <v>2182576</v>
      </c>
      <c r="L21" s="14"/>
      <c r="M21" s="14">
        <v>30885</v>
      </c>
      <c r="N21" s="14"/>
      <c r="O21" s="14">
        <v>0</v>
      </c>
      <c r="P21" s="14"/>
      <c r="Q21" s="14">
        <v>0</v>
      </c>
      <c r="R21" s="14"/>
      <c r="S21" s="14">
        <v>18925</v>
      </c>
      <c r="T21" s="14"/>
      <c r="U21" s="21">
        <f t="shared" si="0"/>
        <v>17511818</v>
      </c>
      <c r="V21" s="14"/>
      <c r="W21" s="14">
        <v>184637</v>
      </c>
      <c r="X21" s="14"/>
      <c r="Y21" s="14">
        <v>0</v>
      </c>
      <c r="Z21" s="14"/>
      <c r="AA21" s="14">
        <v>0</v>
      </c>
      <c r="AB21" s="14"/>
      <c r="AC21" s="14">
        <v>0</v>
      </c>
      <c r="AD21" s="3" t="s">
        <v>278</v>
      </c>
      <c r="AF21" s="13" t="s">
        <v>175</v>
      </c>
      <c r="AG21" s="14"/>
      <c r="AH21" s="14">
        <v>0</v>
      </c>
      <c r="AI21" s="14"/>
      <c r="AJ21" s="14">
        <v>0</v>
      </c>
      <c r="AK21" s="14"/>
      <c r="AL21" s="14">
        <v>0</v>
      </c>
      <c r="AM21" s="14"/>
      <c r="AN21" s="14">
        <v>0</v>
      </c>
      <c r="AO21" s="14"/>
      <c r="AP21" s="14">
        <v>0</v>
      </c>
      <c r="AQ21" s="14"/>
      <c r="AR21" s="21">
        <f t="shared" si="1"/>
        <v>184637</v>
      </c>
      <c r="AS21" s="14"/>
      <c r="AT21" s="21">
        <f t="shared" si="2"/>
        <v>17696455</v>
      </c>
    </row>
    <row r="22" spans="1:46" s="13" customFormat="1" hidden="1">
      <c r="A22" s="3" t="s">
        <v>276</v>
      </c>
      <c r="C22" s="13" t="s">
        <v>216</v>
      </c>
      <c r="E22" s="14">
        <v>0</v>
      </c>
      <c r="F22" s="14"/>
      <c r="G22" s="14">
        <v>0</v>
      </c>
      <c r="H22" s="14"/>
      <c r="I22" s="14">
        <v>0</v>
      </c>
      <c r="J22" s="14"/>
      <c r="K22" s="14">
        <v>0</v>
      </c>
      <c r="L22" s="14"/>
      <c r="M22" s="14">
        <v>0</v>
      </c>
      <c r="N22" s="14"/>
      <c r="O22" s="14">
        <v>0</v>
      </c>
      <c r="P22" s="14"/>
      <c r="Q22" s="14">
        <v>0</v>
      </c>
      <c r="R22" s="14"/>
      <c r="S22" s="14">
        <v>0</v>
      </c>
      <c r="T22" s="14"/>
      <c r="U22" s="21">
        <f t="shared" si="0"/>
        <v>0</v>
      </c>
      <c r="V22" s="14"/>
      <c r="W22" s="14">
        <v>0</v>
      </c>
      <c r="X22" s="14"/>
      <c r="Y22" s="14">
        <v>0</v>
      </c>
      <c r="Z22" s="14"/>
      <c r="AA22" s="14">
        <v>0</v>
      </c>
      <c r="AB22" s="14"/>
      <c r="AC22" s="14"/>
      <c r="AD22" s="3" t="s">
        <v>276</v>
      </c>
      <c r="AF22" s="13" t="s">
        <v>216</v>
      </c>
      <c r="AG22" s="14"/>
      <c r="AH22" s="14">
        <v>0</v>
      </c>
      <c r="AI22" s="14"/>
      <c r="AJ22" s="14">
        <v>0</v>
      </c>
      <c r="AK22" s="14"/>
      <c r="AL22" s="14"/>
      <c r="AM22" s="14"/>
      <c r="AN22" s="14">
        <v>0</v>
      </c>
      <c r="AO22" s="14"/>
      <c r="AP22" s="14">
        <v>0</v>
      </c>
      <c r="AQ22" s="14"/>
      <c r="AR22" s="21">
        <f t="shared" si="1"/>
        <v>0</v>
      </c>
      <c r="AS22" s="14"/>
      <c r="AT22" s="21">
        <f t="shared" si="2"/>
        <v>0</v>
      </c>
    </row>
    <row r="23" spans="1:46" s="13" customFormat="1">
      <c r="A23" s="3" t="s">
        <v>365</v>
      </c>
      <c r="C23" s="13" t="s">
        <v>158</v>
      </c>
      <c r="E23" s="14">
        <v>1935322</v>
      </c>
      <c r="F23" s="14"/>
      <c r="G23" s="14">
        <f>79930+4011439+577090</f>
        <v>4668459</v>
      </c>
      <c r="H23" s="14"/>
      <c r="I23" s="14">
        <v>25107</v>
      </c>
      <c r="J23" s="14"/>
      <c r="K23" s="14">
        <f>1251332+63038+47097+18484+15593</f>
        <v>1395544</v>
      </c>
      <c r="L23" s="14"/>
      <c r="M23" s="14">
        <v>1507</v>
      </c>
      <c r="N23" s="14"/>
      <c r="O23" s="14">
        <v>0</v>
      </c>
      <c r="P23" s="14"/>
      <c r="Q23" s="14">
        <v>0</v>
      </c>
      <c r="R23" s="14"/>
      <c r="S23" s="14">
        <v>164813</v>
      </c>
      <c r="T23" s="14"/>
      <c r="U23" s="21">
        <f t="shared" si="0"/>
        <v>8190752</v>
      </c>
      <c r="V23" s="14"/>
      <c r="W23" s="14">
        <v>2350000</v>
      </c>
      <c r="X23" s="14"/>
      <c r="Y23" s="14">
        <v>0</v>
      </c>
      <c r="Z23" s="14"/>
      <c r="AA23" s="14">
        <v>0</v>
      </c>
      <c r="AB23" s="14"/>
      <c r="AC23" s="14">
        <v>0</v>
      </c>
      <c r="AD23" s="3" t="s">
        <v>365</v>
      </c>
      <c r="AF23" s="13" t="s">
        <v>158</v>
      </c>
      <c r="AG23" s="14"/>
      <c r="AH23" s="14">
        <v>0</v>
      </c>
      <c r="AI23" s="14"/>
      <c r="AJ23" s="14">
        <v>0</v>
      </c>
      <c r="AK23" s="14"/>
      <c r="AL23" s="14">
        <v>0</v>
      </c>
      <c r="AM23" s="14"/>
      <c r="AN23" s="14">
        <v>0</v>
      </c>
      <c r="AO23" s="14"/>
      <c r="AP23" s="14">
        <v>0</v>
      </c>
      <c r="AQ23" s="14"/>
      <c r="AR23" s="21">
        <f t="shared" si="1"/>
        <v>2350000</v>
      </c>
      <c r="AS23" s="14"/>
      <c r="AT23" s="21">
        <f t="shared" si="2"/>
        <v>10540752</v>
      </c>
    </row>
    <row r="24" spans="1:46" s="13" customFormat="1">
      <c r="A24" s="3" t="s">
        <v>245</v>
      </c>
      <c r="C24" s="13" t="s">
        <v>209</v>
      </c>
      <c r="E24" s="14">
        <v>1449320</v>
      </c>
      <c r="F24" s="14"/>
      <c r="G24" s="14">
        <v>2466715</v>
      </c>
      <c r="H24" s="14"/>
      <c r="I24" s="14">
        <v>2416</v>
      </c>
      <c r="J24" s="14"/>
      <c r="K24" s="14">
        <f>10801+16768+63727</f>
        <v>91296</v>
      </c>
      <c r="L24" s="14"/>
      <c r="M24" s="14">
        <v>0</v>
      </c>
      <c r="N24" s="14"/>
      <c r="O24" s="14">
        <v>0</v>
      </c>
      <c r="P24" s="14"/>
      <c r="Q24" s="14">
        <v>2500</v>
      </c>
      <c r="R24" s="14"/>
      <c r="S24" s="14">
        <v>34369</v>
      </c>
      <c r="T24" s="14"/>
      <c r="U24" s="21">
        <f t="shared" si="0"/>
        <v>4046616</v>
      </c>
      <c r="V24" s="14"/>
      <c r="W24" s="14">
        <v>0</v>
      </c>
      <c r="X24" s="14"/>
      <c r="Y24" s="14">
        <v>0</v>
      </c>
      <c r="Z24" s="14"/>
      <c r="AA24" s="14">
        <v>0</v>
      </c>
      <c r="AB24" s="14"/>
      <c r="AC24" s="14">
        <v>0</v>
      </c>
      <c r="AD24" s="3" t="s">
        <v>245</v>
      </c>
      <c r="AF24" s="13" t="s">
        <v>209</v>
      </c>
      <c r="AG24" s="14"/>
      <c r="AH24" s="14">
        <v>0</v>
      </c>
      <c r="AI24" s="14"/>
      <c r="AJ24" s="14">
        <v>0</v>
      </c>
      <c r="AK24" s="14"/>
      <c r="AL24" s="14">
        <v>0</v>
      </c>
      <c r="AM24" s="14"/>
      <c r="AN24" s="14">
        <v>27522</v>
      </c>
      <c r="AO24" s="14"/>
      <c r="AP24" s="14">
        <v>0</v>
      </c>
      <c r="AQ24" s="14"/>
      <c r="AR24" s="21">
        <f t="shared" si="1"/>
        <v>27522</v>
      </c>
      <c r="AS24" s="14"/>
      <c r="AT24" s="21">
        <f t="shared" si="2"/>
        <v>4074138</v>
      </c>
    </row>
    <row r="25" spans="1:46" s="13" customFormat="1">
      <c r="A25" s="3" t="s">
        <v>243</v>
      </c>
      <c r="C25" s="13" t="s">
        <v>159</v>
      </c>
      <c r="E25" s="14">
        <v>10532788</v>
      </c>
      <c r="F25" s="14"/>
      <c r="G25" s="14">
        <f>3985570+309983</f>
        <v>4295553</v>
      </c>
      <c r="H25" s="14"/>
      <c r="I25" s="14">
        <v>48402</v>
      </c>
      <c r="J25" s="14"/>
      <c r="K25" s="14">
        <f>1371170+96413+202001+62933+22266</f>
        <v>1754783</v>
      </c>
      <c r="L25" s="14"/>
      <c r="M25" s="14">
        <v>0</v>
      </c>
      <c r="N25" s="14"/>
      <c r="O25" s="14">
        <v>9</v>
      </c>
      <c r="P25" s="14"/>
      <c r="Q25" s="14">
        <v>6713</v>
      </c>
      <c r="R25" s="14"/>
      <c r="S25" s="14">
        <v>89643</v>
      </c>
      <c r="T25" s="14"/>
      <c r="U25" s="21">
        <f t="shared" si="0"/>
        <v>16727891</v>
      </c>
      <c r="V25" s="14"/>
      <c r="W25" s="14">
        <v>267000</v>
      </c>
      <c r="X25" s="14"/>
      <c r="Y25" s="14">
        <v>0</v>
      </c>
      <c r="Z25" s="14"/>
      <c r="AA25" s="14">
        <v>0</v>
      </c>
      <c r="AB25" s="14"/>
      <c r="AC25" s="14">
        <v>0</v>
      </c>
      <c r="AD25" s="3" t="s">
        <v>243</v>
      </c>
      <c r="AF25" s="13" t="s">
        <v>159</v>
      </c>
      <c r="AG25" s="14"/>
      <c r="AH25" s="14">
        <v>0</v>
      </c>
      <c r="AI25" s="14"/>
      <c r="AJ25" s="14">
        <v>0</v>
      </c>
      <c r="AK25" s="14"/>
      <c r="AL25" s="14">
        <v>0</v>
      </c>
      <c r="AM25" s="14"/>
      <c r="AN25" s="14">
        <v>0</v>
      </c>
      <c r="AO25" s="14"/>
      <c r="AP25" s="14">
        <v>0</v>
      </c>
      <c r="AQ25" s="14"/>
      <c r="AR25" s="21">
        <f t="shared" si="1"/>
        <v>267000</v>
      </c>
      <c r="AS25" s="14"/>
      <c r="AT25" s="21">
        <f t="shared" si="2"/>
        <v>16994891</v>
      </c>
    </row>
    <row r="26" spans="1:46" s="13" customFormat="1">
      <c r="A26" s="3" t="s">
        <v>242</v>
      </c>
      <c r="C26" s="13" t="s">
        <v>161</v>
      </c>
      <c r="E26" s="14">
        <v>10577490</v>
      </c>
      <c r="F26" s="14"/>
      <c r="G26" s="14">
        <f>4246813+638024</f>
        <v>4884837</v>
      </c>
      <c r="H26" s="14"/>
      <c r="I26" s="14">
        <v>184802</v>
      </c>
      <c r="J26" s="14"/>
      <c r="K26" s="14">
        <f>1389472+77406+110816+14712+284327</f>
        <v>1876733</v>
      </c>
      <c r="L26" s="14"/>
      <c r="M26" s="14">
        <v>144</v>
      </c>
      <c r="N26" s="14"/>
      <c r="O26" s="14">
        <v>10135</v>
      </c>
      <c r="P26" s="14"/>
      <c r="Q26" s="14">
        <v>113522</v>
      </c>
      <c r="R26" s="14"/>
      <c r="S26" s="14">
        <v>133835</v>
      </c>
      <c r="T26" s="14"/>
      <c r="U26" s="21">
        <f t="shared" si="0"/>
        <v>17781498</v>
      </c>
      <c r="V26" s="14"/>
      <c r="W26" s="14">
        <v>757330</v>
      </c>
      <c r="X26" s="14"/>
      <c r="Y26" s="14">
        <v>0</v>
      </c>
      <c r="Z26" s="14"/>
      <c r="AA26" s="14">
        <v>0</v>
      </c>
      <c r="AB26" s="14"/>
      <c r="AC26" s="14">
        <v>0</v>
      </c>
      <c r="AD26" s="3" t="s">
        <v>242</v>
      </c>
      <c r="AF26" s="13" t="s">
        <v>161</v>
      </c>
      <c r="AG26" s="14"/>
      <c r="AH26" s="14">
        <v>151726</v>
      </c>
      <c r="AI26" s="14"/>
      <c r="AJ26" s="14">
        <v>0</v>
      </c>
      <c r="AK26" s="14"/>
      <c r="AL26" s="14">
        <v>0</v>
      </c>
      <c r="AM26" s="14"/>
      <c r="AN26" s="14">
        <v>0</v>
      </c>
      <c r="AO26" s="14"/>
      <c r="AP26" s="14">
        <v>0</v>
      </c>
      <c r="AQ26" s="14"/>
      <c r="AR26" s="21">
        <f t="shared" si="1"/>
        <v>909056</v>
      </c>
      <c r="AS26" s="14"/>
      <c r="AT26" s="21">
        <f t="shared" si="2"/>
        <v>18690554</v>
      </c>
    </row>
    <row r="27" spans="1:46" s="13" customFormat="1">
      <c r="A27" s="3" t="s">
        <v>367</v>
      </c>
      <c r="C27" s="13" t="s">
        <v>164</v>
      </c>
      <c r="E27" s="14">
        <v>12391606</v>
      </c>
      <c r="F27" s="14"/>
      <c r="G27" s="14">
        <v>7646696</v>
      </c>
      <c r="H27" s="14"/>
      <c r="I27" s="14">
        <v>62729</v>
      </c>
      <c r="J27" s="14"/>
      <c r="K27" s="14">
        <f>344983+397442+12574</f>
        <v>754999</v>
      </c>
      <c r="L27" s="14"/>
      <c r="M27" s="14">
        <v>0</v>
      </c>
      <c r="N27" s="14"/>
      <c r="O27" s="14">
        <v>1397</v>
      </c>
      <c r="P27" s="14"/>
      <c r="Q27" s="14">
        <v>18936</v>
      </c>
      <c r="R27" s="14"/>
      <c r="S27" s="14">
        <v>43824</v>
      </c>
      <c r="T27" s="14"/>
      <c r="U27" s="21">
        <f t="shared" si="0"/>
        <v>20920187</v>
      </c>
      <c r="V27" s="14"/>
      <c r="W27" s="14">
        <v>392078</v>
      </c>
      <c r="X27" s="14"/>
      <c r="Y27" s="14">
        <v>0</v>
      </c>
      <c r="Z27" s="14"/>
      <c r="AA27" s="14">
        <v>3500000</v>
      </c>
      <c r="AB27" s="14"/>
      <c r="AC27" s="14">
        <v>0</v>
      </c>
      <c r="AD27" s="3" t="s">
        <v>367</v>
      </c>
      <c r="AF27" s="13" t="s">
        <v>164</v>
      </c>
      <c r="AG27" s="14"/>
      <c r="AH27" s="14">
        <v>0</v>
      </c>
      <c r="AI27" s="14"/>
      <c r="AJ27" s="14">
        <v>0</v>
      </c>
      <c r="AK27" s="14"/>
      <c r="AL27" s="14">
        <v>0</v>
      </c>
      <c r="AM27" s="14"/>
      <c r="AN27" s="14">
        <v>0</v>
      </c>
      <c r="AO27" s="14"/>
      <c r="AP27" s="14">
        <v>0</v>
      </c>
      <c r="AQ27" s="14"/>
      <c r="AR27" s="21">
        <f t="shared" si="1"/>
        <v>3892078</v>
      </c>
      <c r="AS27" s="14"/>
      <c r="AT27" s="21">
        <f t="shared" si="2"/>
        <v>24812265</v>
      </c>
    </row>
    <row r="28" spans="1:46" s="13" customFormat="1">
      <c r="A28" s="3" t="s">
        <v>244</v>
      </c>
      <c r="C28" s="13" t="s">
        <v>162</v>
      </c>
      <c r="E28" s="14">
        <v>6724370</v>
      </c>
      <c r="F28" s="14"/>
      <c r="G28" s="14">
        <v>8754531</v>
      </c>
      <c r="H28" s="14"/>
      <c r="I28" s="14">
        <v>8755</v>
      </c>
      <c r="J28" s="14"/>
      <c r="K28" s="14">
        <f>2380335+95587+210501</f>
        <v>2686423</v>
      </c>
      <c r="L28" s="14"/>
      <c r="M28" s="14">
        <v>9300</v>
      </c>
      <c r="N28" s="14"/>
      <c r="O28" s="14">
        <v>0</v>
      </c>
      <c r="P28" s="14"/>
      <c r="Q28" s="14">
        <v>0</v>
      </c>
      <c r="R28" s="14"/>
      <c r="S28" s="14">
        <v>321799</v>
      </c>
      <c r="T28" s="14"/>
      <c r="U28" s="21">
        <f t="shared" si="0"/>
        <v>18505178</v>
      </c>
      <c r="V28" s="14"/>
      <c r="W28" s="14">
        <v>550000</v>
      </c>
      <c r="X28" s="14"/>
      <c r="Y28" s="14">
        <v>0</v>
      </c>
      <c r="Z28" s="14"/>
      <c r="AA28" s="14">
        <v>0</v>
      </c>
      <c r="AB28" s="14"/>
      <c r="AC28" s="14">
        <v>0</v>
      </c>
      <c r="AD28" s="3" t="s">
        <v>244</v>
      </c>
      <c r="AF28" s="13" t="s">
        <v>162</v>
      </c>
      <c r="AG28" s="14"/>
      <c r="AH28" s="14">
        <v>0</v>
      </c>
      <c r="AI28" s="14"/>
      <c r="AJ28" s="14">
        <v>0</v>
      </c>
      <c r="AK28" s="14"/>
      <c r="AL28" s="14">
        <v>0</v>
      </c>
      <c r="AM28" s="14"/>
      <c r="AN28" s="14">
        <v>0</v>
      </c>
      <c r="AO28" s="14"/>
      <c r="AP28" s="14">
        <v>304751</v>
      </c>
      <c r="AQ28" s="14"/>
      <c r="AR28" s="21">
        <f t="shared" si="1"/>
        <v>854751</v>
      </c>
      <c r="AS28" s="14"/>
      <c r="AT28" s="21">
        <f t="shared" si="2"/>
        <v>19359929</v>
      </c>
    </row>
    <row r="29" spans="1:46" s="13" customFormat="1">
      <c r="A29" s="3" t="s">
        <v>246</v>
      </c>
      <c r="C29" s="13" t="s">
        <v>211</v>
      </c>
      <c r="E29" s="14">
        <v>5567961</v>
      </c>
      <c r="F29" s="14"/>
      <c r="G29" s="14">
        <v>9712836</v>
      </c>
      <c r="H29" s="14"/>
      <c r="I29" s="14">
        <v>40019</v>
      </c>
      <c r="J29" s="14"/>
      <c r="K29" s="14">
        <f>1345284+9216+368341</f>
        <v>1722841</v>
      </c>
      <c r="L29" s="14"/>
      <c r="M29" s="14">
        <v>0</v>
      </c>
      <c r="N29" s="14"/>
      <c r="O29" s="14">
        <v>0</v>
      </c>
      <c r="P29" s="14"/>
      <c r="Q29" s="14">
        <v>100732</v>
      </c>
      <c r="R29" s="14"/>
      <c r="S29" s="14">
        <f>1829+11518</f>
        <v>13347</v>
      </c>
      <c r="T29" s="14"/>
      <c r="U29" s="21">
        <f t="shared" si="0"/>
        <v>17157736</v>
      </c>
      <c r="V29" s="14"/>
      <c r="W29" s="14">
        <v>100000</v>
      </c>
      <c r="X29" s="14"/>
      <c r="Y29" s="14">
        <v>1100000</v>
      </c>
      <c r="Z29" s="14"/>
      <c r="AA29" s="14">
        <v>0</v>
      </c>
      <c r="AB29" s="14"/>
      <c r="AC29" s="14">
        <v>0</v>
      </c>
      <c r="AD29" s="3" t="s">
        <v>246</v>
      </c>
      <c r="AF29" s="13" t="s">
        <v>211</v>
      </c>
      <c r="AG29" s="14"/>
      <c r="AH29" s="14">
        <v>0</v>
      </c>
      <c r="AI29" s="14"/>
      <c r="AJ29" s="14">
        <v>3210</v>
      </c>
      <c r="AK29" s="14"/>
      <c r="AL29" s="14">
        <v>0</v>
      </c>
      <c r="AM29" s="14"/>
      <c r="AN29" s="14">
        <v>0</v>
      </c>
      <c r="AO29" s="14"/>
      <c r="AP29" s="14">
        <v>0</v>
      </c>
      <c r="AQ29" s="14"/>
      <c r="AR29" s="21">
        <f t="shared" si="1"/>
        <v>1203210</v>
      </c>
      <c r="AS29" s="14"/>
      <c r="AT29" s="21">
        <f t="shared" si="2"/>
        <v>18360946</v>
      </c>
    </row>
    <row r="30" spans="1:46" s="13" customFormat="1">
      <c r="A30" s="3" t="s">
        <v>210</v>
      </c>
      <c r="C30" s="13" t="s">
        <v>167</v>
      </c>
      <c r="E30" s="14">
        <v>2493463</v>
      </c>
      <c r="F30" s="14"/>
      <c r="G30" s="14">
        <v>7023376</v>
      </c>
      <c r="H30" s="14"/>
      <c r="I30" s="14">
        <v>175840</v>
      </c>
      <c r="J30" s="14"/>
      <c r="K30" s="14">
        <f>25565+254502+809</f>
        <v>280876</v>
      </c>
      <c r="L30" s="14"/>
      <c r="M30" s="14">
        <v>840</v>
      </c>
      <c r="N30" s="14"/>
      <c r="O30" s="14">
        <v>0</v>
      </c>
      <c r="P30" s="14"/>
      <c r="Q30" s="14">
        <v>85829</v>
      </c>
      <c r="R30" s="14"/>
      <c r="S30" s="14">
        <v>32250</v>
      </c>
      <c r="T30" s="14"/>
      <c r="U30" s="21">
        <f t="shared" si="0"/>
        <v>10092474</v>
      </c>
      <c r="V30" s="14"/>
      <c r="W30" s="14">
        <v>188672</v>
      </c>
      <c r="X30" s="14"/>
      <c r="Y30" s="14">
        <v>0</v>
      </c>
      <c r="Z30" s="14"/>
      <c r="AA30" s="14">
        <v>0</v>
      </c>
      <c r="AB30" s="14"/>
      <c r="AC30" s="14">
        <v>0</v>
      </c>
      <c r="AD30" s="3" t="s">
        <v>210</v>
      </c>
      <c r="AF30" s="13" t="s">
        <v>167</v>
      </c>
      <c r="AG30" s="14"/>
      <c r="AH30" s="14">
        <v>0</v>
      </c>
      <c r="AI30" s="14"/>
      <c r="AJ30" s="14">
        <v>0</v>
      </c>
      <c r="AK30" s="14"/>
      <c r="AL30" s="14">
        <v>0</v>
      </c>
      <c r="AM30" s="14"/>
      <c r="AN30" s="14">
        <v>0</v>
      </c>
      <c r="AO30" s="14"/>
      <c r="AP30" s="14">
        <v>0</v>
      </c>
      <c r="AQ30" s="14"/>
      <c r="AR30" s="21">
        <f t="shared" si="1"/>
        <v>188672</v>
      </c>
      <c r="AS30" s="14"/>
      <c r="AT30" s="21">
        <f t="shared" si="2"/>
        <v>10281146</v>
      </c>
    </row>
    <row r="31" spans="1:46" s="13" customFormat="1">
      <c r="A31" s="3" t="s">
        <v>368</v>
      </c>
      <c r="C31" s="13" t="s">
        <v>170</v>
      </c>
      <c r="E31" s="14">
        <v>34830061</v>
      </c>
      <c r="F31" s="14"/>
      <c r="G31" s="14">
        <v>26126386</v>
      </c>
      <c r="H31" s="14"/>
      <c r="I31" s="14">
        <v>215158</v>
      </c>
      <c r="J31" s="14"/>
      <c r="K31" s="14">
        <f>3595390+1096258</f>
        <v>4691648</v>
      </c>
      <c r="L31" s="14"/>
      <c r="M31" s="14">
        <v>62512</v>
      </c>
      <c r="N31" s="14"/>
      <c r="O31" s="14">
        <v>876407</v>
      </c>
      <c r="P31" s="14"/>
      <c r="Q31" s="14">
        <v>0</v>
      </c>
      <c r="R31" s="14"/>
      <c r="S31" s="14">
        <v>488329</v>
      </c>
      <c r="T31" s="14"/>
      <c r="U31" s="21">
        <f t="shared" si="0"/>
        <v>67290501</v>
      </c>
      <c r="V31" s="14"/>
      <c r="W31" s="14">
        <v>0</v>
      </c>
      <c r="X31" s="14">
        <v>7524882</v>
      </c>
      <c r="Y31" s="14">
        <v>0</v>
      </c>
      <c r="Z31" s="14"/>
      <c r="AA31" s="14">
        <f>7795000+728006</f>
        <v>8523006</v>
      </c>
      <c r="AB31" s="14"/>
      <c r="AC31" s="14">
        <v>0</v>
      </c>
      <c r="AD31" s="3" t="s">
        <v>368</v>
      </c>
      <c r="AF31" s="13" t="s">
        <v>170</v>
      </c>
      <c r="AG31" s="14"/>
      <c r="AH31" s="14">
        <v>0</v>
      </c>
      <c r="AI31" s="14"/>
      <c r="AJ31" s="14">
        <v>43200</v>
      </c>
      <c r="AK31" s="14"/>
      <c r="AL31" s="14">
        <v>0</v>
      </c>
      <c r="AM31" s="14"/>
      <c r="AN31" s="14">
        <v>0</v>
      </c>
      <c r="AO31" s="14"/>
      <c r="AP31" s="14">
        <v>0</v>
      </c>
      <c r="AQ31" s="14"/>
      <c r="AR31" s="21">
        <f t="shared" si="1"/>
        <v>16091088</v>
      </c>
      <c r="AS31" s="14"/>
      <c r="AT31" s="21">
        <f t="shared" si="2"/>
        <v>83381589</v>
      </c>
    </row>
    <row r="32" spans="1:46" s="13" customFormat="1">
      <c r="A32" s="3" t="s">
        <v>321</v>
      </c>
      <c r="C32" s="13" t="s">
        <v>169</v>
      </c>
      <c r="E32" s="14">
        <v>9251895</v>
      </c>
      <c r="F32" s="14"/>
      <c r="G32" s="14">
        <v>6399925</v>
      </c>
      <c r="H32" s="14"/>
      <c r="I32" s="14">
        <v>8095</v>
      </c>
      <c r="J32" s="14"/>
      <c r="K32" s="14">
        <f>961247+165738</f>
        <v>1126985</v>
      </c>
      <c r="L32" s="14"/>
      <c r="M32" s="14">
        <v>25913</v>
      </c>
      <c r="N32" s="14"/>
      <c r="O32" s="14">
        <v>0</v>
      </c>
      <c r="P32" s="14"/>
      <c r="Q32" s="14">
        <v>0</v>
      </c>
      <c r="R32" s="14"/>
      <c r="S32" s="14">
        <v>211948</v>
      </c>
      <c r="T32" s="14"/>
      <c r="U32" s="21">
        <f t="shared" si="0"/>
        <v>17024761</v>
      </c>
      <c r="V32" s="14"/>
      <c r="W32" s="14">
        <v>440347</v>
      </c>
      <c r="X32" s="14"/>
      <c r="Y32" s="14">
        <v>0</v>
      </c>
      <c r="Z32" s="14"/>
      <c r="AA32" s="14">
        <v>0</v>
      </c>
      <c r="AB32" s="14"/>
      <c r="AC32" s="14">
        <v>0</v>
      </c>
      <c r="AD32" s="3" t="s">
        <v>321</v>
      </c>
      <c r="AF32" s="13" t="s">
        <v>169</v>
      </c>
      <c r="AG32" s="14"/>
      <c r="AH32" s="14">
        <v>0</v>
      </c>
      <c r="AI32" s="14"/>
      <c r="AJ32" s="14">
        <v>0</v>
      </c>
      <c r="AK32" s="14"/>
      <c r="AL32" s="14">
        <v>0</v>
      </c>
      <c r="AM32" s="14"/>
      <c r="AN32" s="14">
        <v>0</v>
      </c>
      <c r="AO32" s="14"/>
      <c r="AP32" s="14">
        <v>0</v>
      </c>
      <c r="AQ32" s="14"/>
      <c r="AR32" s="21">
        <f t="shared" si="1"/>
        <v>440347</v>
      </c>
      <c r="AS32" s="14"/>
      <c r="AT32" s="21">
        <f t="shared" si="2"/>
        <v>17465108</v>
      </c>
    </row>
    <row r="33" spans="1:46" s="13" customFormat="1">
      <c r="A33" s="3" t="s">
        <v>212</v>
      </c>
      <c r="C33" s="13" t="s">
        <v>172</v>
      </c>
      <c r="E33" s="14">
        <v>1549448</v>
      </c>
      <c r="F33" s="14"/>
      <c r="G33" s="14">
        <v>3200020</v>
      </c>
      <c r="H33" s="14"/>
      <c r="I33" s="14">
        <v>88</v>
      </c>
      <c r="J33" s="14"/>
      <c r="K33" s="14">
        <f>203067+445540+79996</f>
        <v>728603</v>
      </c>
      <c r="L33" s="14"/>
      <c r="M33" s="14">
        <v>9248</v>
      </c>
      <c r="N33" s="14"/>
      <c r="O33" s="14">
        <v>0</v>
      </c>
      <c r="P33" s="14"/>
      <c r="Q33" s="14">
        <v>4350</v>
      </c>
      <c r="R33" s="14"/>
      <c r="S33" s="14">
        <v>10846</v>
      </c>
      <c r="T33" s="14"/>
      <c r="U33" s="21">
        <f t="shared" si="0"/>
        <v>5502603</v>
      </c>
      <c r="V33" s="14"/>
      <c r="W33" s="14">
        <v>88113</v>
      </c>
      <c r="X33" s="14"/>
      <c r="Y33" s="14">
        <v>0</v>
      </c>
      <c r="Z33" s="14"/>
      <c r="AA33" s="14">
        <v>0</v>
      </c>
      <c r="AB33" s="14"/>
      <c r="AC33" s="14">
        <v>0</v>
      </c>
      <c r="AD33" s="3" t="s">
        <v>212</v>
      </c>
      <c r="AF33" s="13" t="s">
        <v>172</v>
      </c>
      <c r="AG33" s="14"/>
      <c r="AH33" s="14">
        <v>0</v>
      </c>
      <c r="AI33" s="14"/>
      <c r="AJ33" s="14">
        <v>0</v>
      </c>
      <c r="AK33" s="14"/>
      <c r="AL33" s="14">
        <v>0</v>
      </c>
      <c r="AM33" s="14"/>
      <c r="AN33" s="14">
        <v>0</v>
      </c>
      <c r="AO33" s="14"/>
      <c r="AP33" s="14">
        <v>0</v>
      </c>
      <c r="AQ33" s="14"/>
      <c r="AR33" s="21">
        <f t="shared" si="1"/>
        <v>88113</v>
      </c>
      <c r="AS33" s="14"/>
      <c r="AT33" s="21">
        <f t="shared" si="2"/>
        <v>5590716</v>
      </c>
    </row>
    <row r="34" spans="1:46" s="13" customFormat="1">
      <c r="A34" s="3" t="s">
        <v>247</v>
      </c>
      <c r="C34" s="13" t="s">
        <v>173</v>
      </c>
      <c r="E34" s="14">
        <v>3180456</v>
      </c>
      <c r="F34" s="14"/>
      <c r="G34" s="14">
        <v>6497474</v>
      </c>
      <c r="H34" s="14"/>
      <c r="I34" s="14">
        <v>93108</v>
      </c>
      <c r="J34" s="14"/>
      <c r="K34" s="14">
        <f>2018067+8740+206637</f>
        <v>2233444</v>
      </c>
      <c r="L34" s="14"/>
      <c r="M34" s="14">
        <v>0</v>
      </c>
      <c r="N34" s="14"/>
      <c r="O34" s="14">
        <v>75053</v>
      </c>
      <c r="P34" s="14"/>
      <c r="Q34" s="14">
        <v>30398</v>
      </c>
      <c r="R34" s="14"/>
      <c r="S34" s="14">
        <v>26468</v>
      </c>
      <c r="T34" s="14"/>
      <c r="U34" s="21">
        <f t="shared" si="0"/>
        <v>12136401</v>
      </c>
      <c r="V34" s="14"/>
      <c r="W34" s="14">
        <v>942600</v>
      </c>
      <c r="X34" s="14"/>
      <c r="Y34" s="14">
        <v>0</v>
      </c>
      <c r="Z34" s="14"/>
      <c r="AA34" s="14">
        <v>0</v>
      </c>
      <c r="AB34" s="14"/>
      <c r="AC34" s="14">
        <v>0</v>
      </c>
      <c r="AD34" s="3" t="s">
        <v>247</v>
      </c>
      <c r="AF34" s="13" t="s">
        <v>173</v>
      </c>
      <c r="AG34" s="14"/>
      <c r="AH34" s="14">
        <v>0</v>
      </c>
      <c r="AI34" s="14"/>
      <c r="AJ34" s="14">
        <v>0</v>
      </c>
      <c r="AK34" s="14"/>
      <c r="AL34" s="14">
        <v>0</v>
      </c>
      <c r="AM34" s="14"/>
      <c r="AN34" s="14">
        <v>0</v>
      </c>
      <c r="AO34" s="14"/>
      <c r="AP34" s="14">
        <v>-896751</v>
      </c>
      <c r="AQ34" s="14"/>
      <c r="AR34" s="21">
        <f t="shared" si="1"/>
        <v>45849</v>
      </c>
      <c r="AS34" s="14"/>
      <c r="AT34" s="21">
        <f t="shared" si="2"/>
        <v>12182250</v>
      </c>
    </row>
    <row r="35" spans="1:46" s="13" customFormat="1">
      <c r="A35" s="3" t="s">
        <v>213</v>
      </c>
      <c r="C35" s="13" t="s">
        <v>174</v>
      </c>
      <c r="E35" s="14">
        <v>1785776</v>
      </c>
      <c r="F35" s="14"/>
      <c r="G35" s="14">
        <v>8673309</v>
      </c>
      <c r="H35" s="14"/>
      <c r="I35" s="14">
        <v>49610</v>
      </c>
      <c r="J35" s="14"/>
      <c r="K35" s="14">
        <f>2328987+247252</f>
        <v>2576239</v>
      </c>
      <c r="L35" s="14"/>
      <c r="M35" s="14">
        <v>0</v>
      </c>
      <c r="N35" s="14"/>
      <c r="O35" s="14">
        <v>0</v>
      </c>
      <c r="P35" s="14"/>
      <c r="Q35" s="14">
        <v>0</v>
      </c>
      <c r="R35" s="14"/>
      <c r="S35" s="14">
        <v>321989</v>
      </c>
      <c r="T35" s="14"/>
      <c r="U35" s="21">
        <f t="shared" si="0"/>
        <v>13406923</v>
      </c>
      <c r="V35" s="14"/>
      <c r="W35" s="14">
        <v>1454715</v>
      </c>
      <c r="X35" s="14"/>
      <c r="Y35" s="14">
        <v>0</v>
      </c>
      <c r="Z35" s="14"/>
      <c r="AA35" s="14">
        <v>0</v>
      </c>
      <c r="AB35" s="14"/>
      <c r="AC35" s="14">
        <v>0</v>
      </c>
      <c r="AD35" s="3" t="s">
        <v>213</v>
      </c>
      <c r="AF35" s="13" t="s">
        <v>174</v>
      </c>
      <c r="AG35" s="14"/>
      <c r="AH35" s="14">
        <v>0</v>
      </c>
      <c r="AI35" s="14"/>
      <c r="AJ35" s="14">
        <v>0</v>
      </c>
      <c r="AK35" s="14"/>
      <c r="AL35" s="14">
        <v>0</v>
      </c>
      <c r="AM35" s="14"/>
      <c r="AN35" s="14">
        <v>0</v>
      </c>
      <c r="AO35" s="14"/>
      <c r="AP35" s="14">
        <v>0</v>
      </c>
      <c r="AQ35" s="14"/>
      <c r="AR35" s="21">
        <f t="shared" si="1"/>
        <v>1454715</v>
      </c>
      <c r="AS35" s="14"/>
      <c r="AT35" s="21">
        <f t="shared" si="2"/>
        <v>14861638</v>
      </c>
    </row>
    <row r="36" spans="1:46" s="13" customFormat="1" hidden="1">
      <c r="A36" s="3" t="s">
        <v>289</v>
      </c>
      <c r="C36" s="13" t="s">
        <v>175</v>
      </c>
      <c r="E36" s="14">
        <v>0</v>
      </c>
      <c r="F36" s="14"/>
      <c r="G36" s="14">
        <v>0</v>
      </c>
      <c r="H36" s="14"/>
      <c r="I36" s="14">
        <v>0</v>
      </c>
      <c r="J36" s="14"/>
      <c r="K36" s="14">
        <v>0</v>
      </c>
      <c r="L36" s="14"/>
      <c r="M36" s="14">
        <v>0</v>
      </c>
      <c r="N36" s="14"/>
      <c r="O36" s="14">
        <v>0</v>
      </c>
      <c r="P36" s="14"/>
      <c r="Q36" s="14">
        <v>0</v>
      </c>
      <c r="R36" s="14"/>
      <c r="S36" s="14">
        <v>0</v>
      </c>
      <c r="T36" s="14"/>
      <c r="U36" s="21">
        <f t="shared" si="0"/>
        <v>0</v>
      </c>
      <c r="V36" s="14"/>
      <c r="W36" s="14">
        <v>0</v>
      </c>
      <c r="X36" s="14"/>
      <c r="Y36" s="14">
        <v>0</v>
      </c>
      <c r="Z36" s="14"/>
      <c r="AA36" s="14">
        <v>0</v>
      </c>
      <c r="AB36" s="14"/>
      <c r="AC36" s="14"/>
      <c r="AD36" s="3" t="s">
        <v>289</v>
      </c>
      <c r="AF36" s="13" t="s">
        <v>175</v>
      </c>
      <c r="AG36" s="14"/>
      <c r="AH36" s="14">
        <v>0</v>
      </c>
      <c r="AI36" s="14"/>
      <c r="AJ36" s="14">
        <v>0</v>
      </c>
      <c r="AK36" s="14"/>
      <c r="AL36" s="14">
        <v>0</v>
      </c>
      <c r="AM36" s="14"/>
      <c r="AN36" s="14">
        <v>0</v>
      </c>
      <c r="AO36" s="14"/>
      <c r="AP36" s="14">
        <v>0</v>
      </c>
      <c r="AQ36" s="14"/>
      <c r="AR36" s="21">
        <f t="shared" si="1"/>
        <v>0</v>
      </c>
      <c r="AS36" s="14"/>
      <c r="AT36" s="21">
        <f t="shared" si="2"/>
        <v>0</v>
      </c>
    </row>
    <row r="37" spans="1:46" s="13" customFormat="1">
      <c r="A37" s="3" t="s">
        <v>215</v>
      </c>
      <c r="C37" s="13" t="s">
        <v>144</v>
      </c>
      <c r="E37" s="14">
        <v>10988937</v>
      </c>
      <c r="F37" s="14"/>
      <c r="G37" s="14">
        <v>11100476</v>
      </c>
      <c r="H37" s="14"/>
      <c r="I37" s="14">
        <v>37025</v>
      </c>
      <c r="J37" s="14"/>
      <c r="K37" s="14">
        <v>1325859</v>
      </c>
      <c r="L37" s="14"/>
      <c r="M37" s="14">
        <v>0</v>
      </c>
      <c r="N37" s="14"/>
      <c r="O37" s="14">
        <v>0</v>
      </c>
      <c r="P37" s="14"/>
      <c r="Q37" s="14">
        <v>0</v>
      </c>
      <c r="R37" s="14"/>
      <c r="S37" s="14">
        <v>736622</v>
      </c>
      <c r="T37" s="14"/>
      <c r="U37" s="21">
        <f t="shared" si="0"/>
        <v>24188919</v>
      </c>
      <c r="V37" s="14"/>
      <c r="W37" s="14">
        <v>3171200</v>
      </c>
      <c r="X37" s="14"/>
      <c r="Y37" s="14">
        <v>0</v>
      </c>
      <c r="Z37" s="14"/>
      <c r="AA37" s="14">
        <v>0</v>
      </c>
      <c r="AB37" s="14"/>
      <c r="AC37" s="14">
        <v>0</v>
      </c>
      <c r="AD37" s="3" t="s">
        <v>215</v>
      </c>
      <c r="AF37" s="13" t="s">
        <v>144</v>
      </c>
      <c r="AG37" s="14"/>
      <c r="AH37" s="14">
        <v>0</v>
      </c>
      <c r="AI37" s="14"/>
      <c r="AJ37" s="14">
        <v>0</v>
      </c>
      <c r="AK37" s="14"/>
      <c r="AL37" s="14"/>
      <c r="AM37" s="14"/>
      <c r="AN37" s="14">
        <v>0</v>
      </c>
      <c r="AO37" s="14"/>
      <c r="AP37" s="14">
        <v>0</v>
      </c>
      <c r="AQ37" s="14"/>
      <c r="AR37" s="21">
        <f t="shared" si="1"/>
        <v>3171200</v>
      </c>
      <c r="AS37" s="14"/>
      <c r="AT37" s="21">
        <f t="shared" si="2"/>
        <v>27360119</v>
      </c>
    </row>
    <row r="38" spans="1:46" s="13" customFormat="1">
      <c r="A38" s="3" t="s">
        <v>369</v>
      </c>
      <c r="C38" s="13" t="s">
        <v>178</v>
      </c>
      <c r="E38" s="14">
        <v>6172125</v>
      </c>
      <c r="F38" s="14"/>
      <c r="G38" s="14">
        <v>4954581</v>
      </c>
      <c r="H38" s="14"/>
      <c r="I38" s="14">
        <v>308941</v>
      </c>
      <c r="J38" s="14"/>
      <c r="K38" s="14">
        <f>1024034+219178+20926</f>
        <v>1264138</v>
      </c>
      <c r="L38" s="14"/>
      <c r="M38" s="14">
        <v>10027</v>
      </c>
      <c r="N38" s="14"/>
      <c r="O38" s="14">
        <v>0</v>
      </c>
      <c r="P38" s="14"/>
      <c r="Q38" s="14">
        <v>3737</v>
      </c>
      <c r="R38" s="14"/>
      <c r="S38" s="14">
        <v>68952</v>
      </c>
      <c r="T38" s="14"/>
      <c r="U38" s="21">
        <f t="shared" si="0"/>
        <v>12782501</v>
      </c>
      <c r="V38" s="14"/>
      <c r="W38" s="14">
        <v>56148</v>
      </c>
      <c r="X38" s="14"/>
      <c r="Y38" s="14">
        <v>0</v>
      </c>
      <c r="Z38" s="14"/>
      <c r="AA38" s="14">
        <v>0</v>
      </c>
      <c r="AB38" s="14"/>
      <c r="AC38" s="14">
        <v>0</v>
      </c>
      <c r="AD38" s="3" t="s">
        <v>369</v>
      </c>
      <c r="AF38" s="13" t="s">
        <v>178</v>
      </c>
      <c r="AG38" s="14"/>
      <c r="AH38" s="14">
        <v>0</v>
      </c>
      <c r="AI38" s="14"/>
      <c r="AJ38" s="14">
        <v>4354</v>
      </c>
      <c r="AK38" s="14"/>
      <c r="AL38" s="14"/>
      <c r="AM38" s="14"/>
      <c r="AN38" s="14">
        <v>0</v>
      </c>
      <c r="AO38" s="14"/>
      <c r="AP38" s="14">
        <v>0</v>
      </c>
      <c r="AQ38" s="14"/>
      <c r="AR38" s="21">
        <f t="shared" si="1"/>
        <v>60502</v>
      </c>
      <c r="AS38" s="14"/>
      <c r="AT38" s="21">
        <f t="shared" si="2"/>
        <v>12843003</v>
      </c>
    </row>
    <row r="39" spans="1:46" s="13" customFormat="1">
      <c r="A39" s="3" t="s">
        <v>248</v>
      </c>
      <c r="C39" s="13" t="s">
        <v>188</v>
      </c>
      <c r="E39" s="14">
        <v>6246805</v>
      </c>
      <c r="F39" s="14"/>
      <c r="G39" s="14">
        <v>6245669</v>
      </c>
      <c r="H39" s="14"/>
      <c r="I39" s="14">
        <v>412020</v>
      </c>
      <c r="J39" s="14"/>
      <c r="K39" s="14">
        <f>362745+14579+226463</f>
        <v>603787</v>
      </c>
      <c r="L39" s="14"/>
      <c r="M39" s="14">
        <v>0</v>
      </c>
      <c r="N39" s="14"/>
      <c r="O39" s="14">
        <v>0</v>
      </c>
      <c r="P39" s="14"/>
      <c r="Q39" s="14">
        <v>17748</v>
      </c>
      <c r="R39" s="14"/>
      <c r="S39" s="14">
        <v>49313</v>
      </c>
      <c r="T39" s="14"/>
      <c r="U39" s="21">
        <f t="shared" si="0"/>
        <v>13575342</v>
      </c>
      <c r="V39" s="14"/>
      <c r="W39" s="14">
        <v>0</v>
      </c>
      <c r="X39" s="14"/>
      <c r="Y39" s="14">
        <v>0</v>
      </c>
      <c r="Z39" s="14"/>
      <c r="AA39" s="14">
        <v>0</v>
      </c>
      <c r="AB39" s="14"/>
      <c r="AC39" s="14">
        <v>0</v>
      </c>
      <c r="AD39" s="3" t="s">
        <v>248</v>
      </c>
      <c r="AF39" s="13" t="s">
        <v>188</v>
      </c>
      <c r="AG39" s="14"/>
      <c r="AH39" s="14">
        <v>0</v>
      </c>
      <c r="AI39" s="14"/>
      <c r="AJ39" s="14">
        <v>0</v>
      </c>
      <c r="AK39" s="14"/>
      <c r="AL39" s="14"/>
      <c r="AM39" s="14"/>
      <c r="AN39" s="14">
        <v>0</v>
      </c>
      <c r="AO39" s="14"/>
      <c r="AP39" s="14">
        <v>0</v>
      </c>
      <c r="AQ39" s="14"/>
      <c r="AR39" s="21">
        <f t="shared" si="1"/>
        <v>0</v>
      </c>
      <c r="AS39" s="14"/>
      <c r="AT39" s="21">
        <f t="shared" si="2"/>
        <v>13575342</v>
      </c>
    </row>
    <row r="40" spans="1:46" s="13" customFormat="1">
      <c r="A40" s="3" t="s">
        <v>219</v>
      </c>
      <c r="C40" s="13" t="s">
        <v>180</v>
      </c>
      <c r="E40" s="14">
        <v>7761073</v>
      </c>
      <c r="F40" s="14"/>
      <c r="G40" s="14">
        <v>8687635</v>
      </c>
      <c r="H40" s="14"/>
      <c r="I40" s="14">
        <v>5539</v>
      </c>
      <c r="J40" s="14"/>
      <c r="K40" s="14">
        <f>38665+2740+25373</f>
        <v>66778</v>
      </c>
      <c r="L40" s="14"/>
      <c r="M40" s="14">
        <v>0</v>
      </c>
      <c r="N40" s="14"/>
      <c r="O40" s="14">
        <v>16226</v>
      </c>
      <c r="P40" s="14"/>
      <c r="Q40" s="14">
        <v>23872</v>
      </c>
      <c r="R40" s="14"/>
      <c r="S40" s="14">
        <v>62294</v>
      </c>
      <c r="T40" s="14"/>
      <c r="U40" s="21">
        <f t="shared" si="0"/>
        <v>16623417</v>
      </c>
      <c r="V40" s="14"/>
      <c r="W40" s="14">
        <v>0</v>
      </c>
      <c r="X40" s="14"/>
      <c r="Y40" s="14">
        <v>0</v>
      </c>
      <c r="Z40" s="14"/>
      <c r="AA40" s="14">
        <v>0</v>
      </c>
      <c r="AB40" s="14"/>
      <c r="AC40" s="14">
        <v>0</v>
      </c>
      <c r="AD40" s="3" t="s">
        <v>219</v>
      </c>
      <c r="AF40" s="13" t="s">
        <v>180</v>
      </c>
      <c r="AG40" s="14"/>
      <c r="AH40" s="14">
        <v>0</v>
      </c>
      <c r="AI40" s="14"/>
      <c r="AJ40" s="14">
        <f>10000+1843</f>
        <v>11843</v>
      </c>
      <c r="AK40" s="14"/>
      <c r="AL40" s="14"/>
      <c r="AM40" s="14"/>
      <c r="AN40" s="14">
        <v>0</v>
      </c>
      <c r="AO40" s="14"/>
      <c r="AP40" s="14">
        <v>0</v>
      </c>
      <c r="AQ40" s="14"/>
      <c r="AR40" s="21">
        <f t="shared" si="1"/>
        <v>11843</v>
      </c>
      <c r="AS40" s="14"/>
      <c r="AT40" s="21">
        <f t="shared" si="2"/>
        <v>16635260</v>
      </c>
    </row>
    <row r="41" spans="1:46" s="13" customFormat="1">
      <c r="A41" s="3" t="s">
        <v>370</v>
      </c>
      <c r="C41" s="13" t="s">
        <v>183</v>
      </c>
      <c r="E41" s="14">
        <v>13357037</v>
      </c>
      <c r="F41" s="14"/>
      <c r="G41" s="14">
        <v>17662524</v>
      </c>
      <c r="H41" s="14"/>
      <c r="I41" s="14">
        <v>10284</v>
      </c>
      <c r="J41" s="14"/>
      <c r="K41" s="14">
        <f>2895116+110907</f>
        <v>3006023</v>
      </c>
      <c r="L41" s="14"/>
      <c r="M41" s="14">
        <v>4279</v>
      </c>
      <c r="N41" s="14"/>
      <c r="O41" s="14">
        <v>0</v>
      </c>
      <c r="P41" s="14"/>
      <c r="Q41" s="14">
        <v>0</v>
      </c>
      <c r="R41" s="14"/>
      <c r="S41" s="14">
        <v>365284</v>
      </c>
      <c r="T41" s="14"/>
      <c r="U41" s="21">
        <f t="shared" si="0"/>
        <v>34405431</v>
      </c>
      <c r="V41" s="14"/>
      <c r="W41" s="14">
        <v>353373</v>
      </c>
      <c r="X41" s="14"/>
      <c r="Y41" s="14">
        <v>0</v>
      </c>
      <c r="Z41" s="14"/>
      <c r="AA41" s="14">
        <v>0</v>
      </c>
      <c r="AB41" s="14"/>
      <c r="AC41" s="14">
        <v>0</v>
      </c>
      <c r="AD41" s="3" t="s">
        <v>370</v>
      </c>
      <c r="AF41" s="13" t="s">
        <v>183</v>
      </c>
      <c r="AG41" s="14"/>
      <c r="AH41" s="14">
        <v>0</v>
      </c>
      <c r="AI41" s="14"/>
      <c r="AJ41" s="14">
        <v>0</v>
      </c>
      <c r="AK41" s="14"/>
      <c r="AL41" s="14"/>
      <c r="AM41" s="14"/>
      <c r="AN41" s="14">
        <v>0</v>
      </c>
      <c r="AO41" s="14"/>
      <c r="AP41" s="14">
        <v>0</v>
      </c>
      <c r="AQ41" s="14"/>
      <c r="AR41" s="21">
        <f t="shared" si="1"/>
        <v>353373</v>
      </c>
      <c r="AS41" s="14"/>
      <c r="AT41" s="21">
        <f t="shared" si="2"/>
        <v>34758804</v>
      </c>
    </row>
    <row r="42" spans="1:46" s="13" customFormat="1">
      <c r="A42" s="3" t="s">
        <v>371</v>
      </c>
      <c r="C42" s="13" t="s">
        <v>185</v>
      </c>
      <c r="E42" s="14">
        <v>9846004</v>
      </c>
      <c r="F42" s="14"/>
      <c r="G42" s="14">
        <v>17629483</v>
      </c>
      <c r="H42" s="14"/>
      <c r="I42" s="14">
        <v>207275</v>
      </c>
      <c r="J42" s="14"/>
      <c r="K42" s="14">
        <f>2395760+1020+397178</f>
        <v>2793958</v>
      </c>
      <c r="L42" s="14"/>
      <c r="M42" s="14">
        <v>0</v>
      </c>
      <c r="N42" s="14"/>
      <c r="O42" s="14">
        <v>48064</v>
      </c>
      <c r="P42" s="14"/>
      <c r="Q42" s="14">
        <v>0</v>
      </c>
      <c r="R42" s="14"/>
      <c r="S42" s="14">
        <v>54819</v>
      </c>
      <c r="T42" s="14"/>
      <c r="U42" s="21">
        <f t="shared" si="0"/>
        <v>30579603</v>
      </c>
      <c r="V42" s="14"/>
      <c r="W42" s="14">
        <v>3700000</v>
      </c>
      <c r="X42" s="14"/>
      <c r="Y42" s="14">
        <v>0</v>
      </c>
      <c r="Z42" s="14"/>
      <c r="AA42" s="14">
        <v>0</v>
      </c>
      <c r="AB42" s="14"/>
      <c r="AC42" s="14">
        <v>0</v>
      </c>
      <c r="AD42" s="3" t="s">
        <v>371</v>
      </c>
      <c r="AF42" s="13" t="s">
        <v>185</v>
      </c>
      <c r="AG42" s="14"/>
      <c r="AH42" s="14">
        <v>0</v>
      </c>
      <c r="AI42" s="14"/>
      <c r="AJ42" s="14">
        <v>0</v>
      </c>
      <c r="AK42" s="14"/>
      <c r="AL42" s="14"/>
      <c r="AM42" s="14"/>
      <c r="AN42" s="14">
        <v>0</v>
      </c>
      <c r="AO42" s="14"/>
      <c r="AP42" s="14">
        <v>0</v>
      </c>
      <c r="AQ42" s="14"/>
      <c r="AR42" s="21">
        <f t="shared" si="1"/>
        <v>3700000</v>
      </c>
      <c r="AS42" s="14"/>
      <c r="AT42" s="21">
        <f t="shared" si="2"/>
        <v>34279603</v>
      </c>
    </row>
    <row r="43" spans="1:46" s="13" customFormat="1">
      <c r="A43" s="3" t="s">
        <v>214</v>
      </c>
      <c r="C43" s="13" t="s">
        <v>176</v>
      </c>
      <c r="E43" s="14">
        <v>4692521</v>
      </c>
      <c r="F43" s="14"/>
      <c r="G43" s="14">
        <v>7603524</v>
      </c>
      <c r="H43" s="14"/>
      <c r="I43" s="14">
        <v>17746</v>
      </c>
      <c r="J43" s="14"/>
      <c r="K43" s="14">
        <f>1534729+293626</f>
        <v>1828355</v>
      </c>
      <c r="L43" s="14"/>
      <c r="M43" s="14">
        <v>0</v>
      </c>
      <c r="N43" s="14"/>
      <c r="O43" s="14">
        <v>0</v>
      </c>
      <c r="P43" s="14"/>
      <c r="Q43" s="14">
        <v>0</v>
      </c>
      <c r="R43" s="14"/>
      <c r="S43" s="14">
        <v>259663</v>
      </c>
      <c r="T43" s="14"/>
      <c r="U43" s="21">
        <f t="shared" si="0"/>
        <v>14401809</v>
      </c>
      <c r="V43" s="14"/>
      <c r="W43" s="14">
        <v>363000</v>
      </c>
      <c r="X43" s="14"/>
      <c r="Y43" s="14">
        <v>0</v>
      </c>
      <c r="Z43" s="14"/>
      <c r="AA43" s="14">
        <v>627418</v>
      </c>
      <c r="AB43" s="14"/>
      <c r="AC43" s="14">
        <v>0</v>
      </c>
      <c r="AD43" s="3" t="s">
        <v>214</v>
      </c>
      <c r="AF43" s="13" t="s">
        <v>176</v>
      </c>
      <c r="AG43" s="14"/>
      <c r="AH43" s="14">
        <v>0</v>
      </c>
      <c r="AI43" s="14"/>
      <c r="AJ43" s="14">
        <v>0</v>
      </c>
      <c r="AK43" s="14"/>
      <c r="AL43" s="14"/>
      <c r="AM43" s="14"/>
      <c r="AN43" s="14">
        <v>0</v>
      </c>
      <c r="AO43" s="14"/>
      <c r="AP43" s="14">
        <v>0</v>
      </c>
      <c r="AQ43" s="14"/>
      <c r="AR43" s="21">
        <f t="shared" si="1"/>
        <v>990418</v>
      </c>
      <c r="AS43" s="14"/>
      <c r="AT43" s="21">
        <f t="shared" si="2"/>
        <v>15392227</v>
      </c>
    </row>
    <row r="44" spans="1:46" s="13" customFormat="1">
      <c r="A44" s="3" t="s">
        <v>328</v>
      </c>
      <c r="C44" s="13" t="s">
        <v>206</v>
      </c>
      <c r="E44" s="14">
        <v>14264701</v>
      </c>
      <c r="F44" s="14"/>
      <c r="G44" s="14">
        <f>16624303+1472492</f>
        <v>18096795</v>
      </c>
      <c r="H44" s="14"/>
      <c r="I44" s="14">
        <v>191519</v>
      </c>
      <c r="J44" s="14"/>
      <c r="K44" s="14">
        <f>338738+357552+225000+10252+2559</f>
        <v>934101</v>
      </c>
      <c r="L44" s="14"/>
      <c r="M44" s="14">
        <v>11104</v>
      </c>
      <c r="N44" s="14"/>
      <c r="O44" s="14">
        <v>292660</v>
      </c>
      <c r="P44" s="14"/>
      <c r="Q44" s="14">
        <v>2373</v>
      </c>
      <c r="R44" s="14"/>
      <c r="S44" s="14">
        <v>15869</v>
      </c>
      <c r="T44" s="14"/>
      <c r="U44" s="21">
        <f t="shared" si="0"/>
        <v>33809122</v>
      </c>
      <c r="V44" s="14"/>
      <c r="W44" s="14">
        <v>12000341</v>
      </c>
      <c r="X44" s="14"/>
      <c r="Y44" s="14">
        <v>0</v>
      </c>
      <c r="Z44" s="14"/>
      <c r="AA44" s="14">
        <v>0</v>
      </c>
      <c r="AB44" s="14"/>
      <c r="AC44" s="14">
        <v>0</v>
      </c>
      <c r="AD44" s="3" t="s">
        <v>328</v>
      </c>
      <c r="AF44" s="13" t="s">
        <v>206</v>
      </c>
      <c r="AG44" s="14"/>
      <c r="AH44" s="14">
        <f>3977150+43810000</f>
        <v>47787150</v>
      </c>
      <c r="AI44" s="14"/>
      <c r="AJ44" s="14">
        <v>0</v>
      </c>
      <c r="AK44" s="14"/>
      <c r="AL44" s="14"/>
      <c r="AM44" s="14"/>
      <c r="AN44" s="14">
        <v>0</v>
      </c>
      <c r="AO44" s="14"/>
      <c r="AP44" s="14">
        <v>0</v>
      </c>
      <c r="AQ44" s="14"/>
      <c r="AR44" s="21">
        <f t="shared" si="1"/>
        <v>59787491</v>
      </c>
      <c r="AS44" s="14"/>
      <c r="AT44" s="21">
        <f t="shared" si="2"/>
        <v>93596613</v>
      </c>
    </row>
    <row r="45" spans="1:46" s="13" customFormat="1">
      <c r="A45" s="3" t="s">
        <v>372</v>
      </c>
      <c r="C45" s="13" t="s">
        <v>192</v>
      </c>
      <c r="E45" s="14">
        <v>4182983</v>
      </c>
      <c r="F45" s="14"/>
      <c r="G45" s="14">
        <v>12441663</v>
      </c>
      <c r="H45" s="14"/>
      <c r="I45" s="14">
        <v>79190</v>
      </c>
      <c r="J45" s="14"/>
      <c r="K45" s="14">
        <f>1414433+23305+691631</f>
        <v>2129369</v>
      </c>
      <c r="L45" s="14"/>
      <c r="M45" s="14">
        <v>0</v>
      </c>
      <c r="N45" s="14"/>
      <c r="O45" s="14">
        <v>588</v>
      </c>
      <c r="P45" s="14"/>
      <c r="Q45" s="14">
        <v>11146</v>
      </c>
      <c r="R45" s="14"/>
      <c r="S45" s="14">
        <v>181219</v>
      </c>
      <c r="T45" s="14"/>
      <c r="U45" s="21">
        <f t="shared" si="0"/>
        <v>19026158</v>
      </c>
      <c r="V45" s="14"/>
      <c r="W45" s="14">
        <v>373015</v>
      </c>
      <c r="X45" s="14"/>
      <c r="Y45" s="14">
        <v>0</v>
      </c>
      <c r="Z45" s="14"/>
      <c r="AA45" s="14">
        <v>0</v>
      </c>
      <c r="AB45" s="14"/>
      <c r="AC45" s="14">
        <v>0</v>
      </c>
      <c r="AD45" s="3" t="s">
        <v>372</v>
      </c>
      <c r="AF45" s="13" t="s">
        <v>192</v>
      </c>
      <c r="AG45" s="14"/>
      <c r="AH45" s="14">
        <v>283193</v>
      </c>
      <c r="AI45" s="14"/>
      <c r="AJ45" s="14">
        <v>0</v>
      </c>
      <c r="AK45" s="14"/>
      <c r="AL45" s="14"/>
      <c r="AM45" s="14"/>
      <c r="AN45" s="14">
        <v>0</v>
      </c>
      <c r="AO45" s="14"/>
      <c r="AP45" s="14">
        <v>0</v>
      </c>
      <c r="AQ45" s="14"/>
      <c r="AR45" s="21">
        <f t="shared" si="1"/>
        <v>656208</v>
      </c>
      <c r="AS45" s="14"/>
      <c r="AT45" s="21">
        <f t="shared" si="2"/>
        <v>19682366</v>
      </c>
    </row>
    <row r="46" spans="1:46" s="13" customFormat="1">
      <c r="A46" s="3" t="s">
        <v>249</v>
      </c>
      <c r="C46" s="13" t="s">
        <v>220</v>
      </c>
      <c r="E46" s="14">
        <v>1212639</v>
      </c>
      <c r="F46" s="14"/>
      <c r="G46" s="14">
        <v>5548147</v>
      </c>
      <c r="H46" s="14"/>
      <c r="I46" s="14">
        <v>17131</v>
      </c>
      <c r="J46" s="14"/>
      <c r="K46" s="14">
        <f>664914+15550+200864</f>
        <v>881328</v>
      </c>
      <c r="L46" s="14"/>
      <c r="M46" s="14">
        <v>0</v>
      </c>
      <c r="N46" s="14"/>
      <c r="O46" s="14">
        <v>496</v>
      </c>
      <c r="P46" s="14"/>
      <c r="Q46" s="14">
        <v>4706</v>
      </c>
      <c r="R46" s="14"/>
      <c r="S46" s="14">
        <v>86143</v>
      </c>
      <c r="T46" s="14"/>
      <c r="U46" s="21">
        <f t="shared" ref="U46:U64" si="3">SUM(E46:T46)</f>
        <v>7750590</v>
      </c>
      <c r="V46" s="14"/>
      <c r="W46" s="14">
        <v>40037</v>
      </c>
      <c r="X46" s="14"/>
      <c r="Y46" s="14">
        <v>0</v>
      </c>
      <c r="Z46" s="14"/>
      <c r="AA46" s="14">
        <v>0</v>
      </c>
      <c r="AB46" s="14"/>
      <c r="AC46" s="14">
        <v>0</v>
      </c>
      <c r="AD46" s="3" t="s">
        <v>249</v>
      </c>
      <c r="AF46" s="13" t="s">
        <v>220</v>
      </c>
      <c r="AG46" s="14"/>
      <c r="AH46" s="14">
        <v>0</v>
      </c>
      <c r="AI46" s="14"/>
      <c r="AJ46" s="14">
        <v>0</v>
      </c>
      <c r="AK46" s="14"/>
      <c r="AL46" s="14"/>
      <c r="AM46" s="14"/>
      <c r="AN46" s="14">
        <v>0</v>
      </c>
      <c r="AO46" s="14"/>
      <c r="AP46" s="14">
        <v>0</v>
      </c>
      <c r="AQ46" s="14"/>
      <c r="AR46" s="21">
        <f t="shared" ref="AR46:AR64" si="4">SUM(W46:AP46)</f>
        <v>40037</v>
      </c>
      <c r="AS46" s="14"/>
      <c r="AT46" s="21">
        <f t="shared" ref="AT46:AT64" si="5">+AR46+U46</f>
        <v>7790627</v>
      </c>
    </row>
    <row r="47" spans="1:46" s="13" customFormat="1">
      <c r="A47" s="3" t="s">
        <v>373</v>
      </c>
      <c r="C47" s="13" t="s">
        <v>191</v>
      </c>
      <c r="E47" s="14">
        <v>4167987</v>
      </c>
      <c r="F47" s="14"/>
      <c r="G47" s="14">
        <f>66874+12796215+805051</f>
        <v>13668140</v>
      </c>
      <c r="H47" s="14"/>
      <c r="I47" s="14">
        <v>143936</v>
      </c>
      <c r="J47" s="14"/>
      <c r="K47" s="14">
        <f>283753+195151+183252+162165</f>
        <v>824321</v>
      </c>
      <c r="L47" s="14"/>
      <c r="M47" s="14">
        <v>22198</v>
      </c>
      <c r="N47" s="14"/>
      <c r="O47" s="14">
        <v>0</v>
      </c>
      <c r="P47" s="14"/>
      <c r="Q47" s="14">
        <v>7055</v>
      </c>
      <c r="R47" s="14"/>
      <c r="S47" s="14">
        <v>189064</v>
      </c>
      <c r="T47" s="14"/>
      <c r="U47" s="21">
        <f t="shared" si="3"/>
        <v>19022701</v>
      </c>
      <c r="V47" s="14"/>
      <c r="W47" s="14">
        <v>931291</v>
      </c>
      <c r="X47" s="14"/>
      <c r="Y47" s="14">
        <v>0</v>
      </c>
      <c r="Z47" s="14"/>
      <c r="AA47" s="14">
        <v>0</v>
      </c>
      <c r="AB47" s="14"/>
      <c r="AC47" s="14">
        <v>0</v>
      </c>
      <c r="AD47" s="3" t="s">
        <v>373</v>
      </c>
      <c r="AF47" s="13" t="s">
        <v>191</v>
      </c>
      <c r="AG47" s="14"/>
      <c r="AH47" s="14">
        <v>79493</v>
      </c>
      <c r="AI47" s="14"/>
      <c r="AJ47" s="14">
        <v>64170</v>
      </c>
      <c r="AK47" s="14"/>
      <c r="AL47" s="14"/>
      <c r="AM47" s="14"/>
      <c r="AN47" s="14">
        <v>0</v>
      </c>
      <c r="AO47" s="14"/>
      <c r="AP47" s="14">
        <v>0</v>
      </c>
      <c r="AQ47" s="14"/>
      <c r="AR47" s="21">
        <f t="shared" si="4"/>
        <v>1074954</v>
      </c>
      <c r="AS47" s="14"/>
      <c r="AT47" s="21">
        <f t="shared" si="5"/>
        <v>20097655</v>
      </c>
    </row>
    <row r="48" spans="1:46" s="13" customFormat="1">
      <c r="A48" s="3" t="s">
        <v>250</v>
      </c>
      <c r="C48" s="13" t="s">
        <v>159</v>
      </c>
      <c r="E48" s="14">
        <v>9092417</v>
      </c>
      <c r="F48" s="14"/>
      <c r="G48" s="14">
        <v>5102078</v>
      </c>
      <c r="H48" s="14"/>
      <c r="I48" s="14">
        <v>41531</v>
      </c>
      <c r="J48" s="14"/>
      <c r="K48" s="14">
        <f>122765+25600</f>
        <v>148365</v>
      </c>
      <c r="L48" s="14"/>
      <c r="M48" s="14">
        <v>0</v>
      </c>
      <c r="N48" s="14"/>
      <c r="O48" s="14">
        <v>0</v>
      </c>
      <c r="P48" s="14"/>
      <c r="Q48" s="14">
        <v>0</v>
      </c>
      <c r="R48" s="14"/>
      <c r="S48" s="14">
        <v>110744</v>
      </c>
      <c r="T48" s="14"/>
      <c r="U48" s="21">
        <f t="shared" si="3"/>
        <v>14495135</v>
      </c>
      <c r="V48" s="14"/>
      <c r="W48" s="14">
        <v>0</v>
      </c>
      <c r="X48" s="14"/>
      <c r="Y48" s="14">
        <v>0</v>
      </c>
      <c r="Z48" s="14"/>
      <c r="AA48" s="14">
        <v>0</v>
      </c>
      <c r="AB48" s="14"/>
      <c r="AC48" s="14">
        <v>0</v>
      </c>
      <c r="AD48" s="3" t="s">
        <v>250</v>
      </c>
      <c r="AF48" s="13" t="s">
        <v>159</v>
      </c>
      <c r="AG48" s="14"/>
      <c r="AH48" s="14">
        <v>3394660</v>
      </c>
      <c r="AI48" s="14"/>
      <c r="AJ48" s="14">
        <v>677</v>
      </c>
      <c r="AK48" s="14"/>
      <c r="AL48" s="14"/>
      <c r="AM48" s="14"/>
      <c r="AN48" s="14">
        <v>0</v>
      </c>
      <c r="AO48" s="14"/>
      <c r="AP48" s="14">
        <v>0</v>
      </c>
      <c r="AQ48" s="14"/>
      <c r="AR48" s="21">
        <f t="shared" si="4"/>
        <v>3395337</v>
      </c>
      <c r="AS48" s="14"/>
      <c r="AT48" s="21">
        <f t="shared" si="5"/>
        <v>17890472</v>
      </c>
    </row>
    <row r="49" spans="1:46" s="13" customFormat="1">
      <c r="A49" s="3" t="s">
        <v>251</v>
      </c>
      <c r="C49" s="13" t="s">
        <v>198</v>
      </c>
      <c r="E49" s="14">
        <v>2871531</v>
      </c>
      <c r="F49" s="14"/>
      <c r="G49" s="14">
        <v>3364330</v>
      </c>
      <c r="H49" s="14"/>
      <c r="I49" s="14">
        <v>41573</v>
      </c>
      <c r="J49" s="14"/>
      <c r="K49" s="14">
        <f>1514157+29191</f>
        <v>1543348</v>
      </c>
      <c r="L49" s="14"/>
      <c r="M49" s="14">
        <v>8609</v>
      </c>
      <c r="N49" s="14"/>
      <c r="O49" s="14">
        <v>0</v>
      </c>
      <c r="P49" s="14"/>
      <c r="Q49" s="14">
        <v>0</v>
      </c>
      <c r="R49" s="14"/>
      <c r="S49" s="14">
        <v>28824</v>
      </c>
      <c r="T49" s="14"/>
      <c r="U49" s="21">
        <f t="shared" si="3"/>
        <v>7858215</v>
      </c>
      <c r="V49" s="14"/>
      <c r="W49" s="14">
        <v>33333</v>
      </c>
      <c r="X49" s="14"/>
      <c r="Y49" s="14">
        <v>0</v>
      </c>
      <c r="Z49" s="14"/>
      <c r="AA49" s="14">
        <v>0</v>
      </c>
      <c r="AB49" s="14"/>
      <c r="AC49" s="14">
        <v>0</v>
      </c>
      <c r="AD49" s="3" t="s">
        <v>251</v>
      </c>
      <c r="AF49" s="13" t="s">
        <v>198</v>
      </c>
      <c r="AG49" s="14"/>
      <c r="AH49" s="14">
        <v>0</v>
      </c>
      <c r="AI49" s="14"/>
      <c r="AJ49" s="14">
        <v>0</v>
      </c>
      <c r="AK49" s="14"/>
      <c r="AL49" s="14"/>
      <c r="AM49" s="14"/>
      <c r="AN49" s="14">
        <v>0</v>
      </c>
      <c r="AO49" s="14"/>
      <c r="AP49" s="14">
        <v>0</v>
      </c>
      <c r="AQ49" s="14"/>
      <c r="AR49" s="21">
        <f t="shared" si="4"/>
        <v>33333</v>
      </c>
      <c r="AS49" s="14"/>
      <c r="AT49" s="21">
        <f t="shared" si="5"/>
        <v>7891548</v>
      </c>
    </row>
    <row r="50" spans="1:46" s="13" customFormat="1">
      <c r="A50" s="3" t="s">
        <v>252</v>
      </c>
      <c r="C50" s="13" t="s">
        <v>194</v>
      </c>
      <c r="E50" s="14">
        <v>2365738</v>
      </c>
      <c r="F50" s="14"/>
      <c r="G50" s="14">
        <v>5660869</v>
      </c>
      <c r="H50" s="14"/>
      <c r="I50" s="14">
        <v>75122</v>
      </c>
      <c r="J50" s="14"/>
      <c r="K50" s="14">
        <f>83553+2009159+60308</f>
        <v>2153020</v>
      </c>
      <c r="L50" s="14"/>
      <c r="M50" s="14">
        <v>28821</v>
      </c>
      <c r="N50" s="14"/>
      <c r="O50" s="14">
        <v>0</v>
      </c>
      <c r="P50" s="14"/>
      <c r="Q50" s="14">
        <v>7579</v>
      </c>
      <c r="R50" s="14"/>
      <c r="S50" s="14">
        <v>99625</v>
      </c>
      <c r="T50" s="14"/>
      <c r="U50" s="21">
        <f t="shared" si="3"/>
        <v>10390774</v>
      </c>
      <c r="V50" s="14"/>
      <c r="W50" s="14">
        <v>380334</v>
      </c>
      <c r="X50" s="14"/>
      <c r="Y50" s="14">
        <v>0</v>
      </c>
      <c r="Z50" s="14"/>
      <c r="AA50" s="14">
        <v>0</v>
      </c>
      <c r="AB50" s="14"/>
      <c r="AC50" s="14">
        <v>0</v>
      </c>
      <c r="AD50" s="3" t="s">
        <v>252</v>
      </c>
      <c r="AF50" s="13" t="s">
        <v>194</v>
      </c>
      <c r="AG50" s="14"/>
      <c r="AH50" s="14">
        <v>0</v>
      </c>
      <c r="AI50" s="14"/>
      <c r="AJ50" s="14">
        <v>12804</v>
      </c>
      <c r="AK50" s="14"/>
      <c r="AL50" s="14">
        <v>0</v>
      </c>
      <c r="AM50" s="14"/>
      <c r="AN50" s="14">
        <v>0</v>
      </c>
      <c r="AO50" s="14"/>
      <c r="AP50" s="14">
        <v>0</v>
      </c>
      <c r="AQ50" s="14"/>
      <c r="AR50" s="21">
        <f t="shared" si="4"/>
        <v>393138</v>
      </c>
      <c r="AS50" s="14"/>
      <c r="AT50" s="21">
        <f t="shared" si="5"/>
        <v>10783912</v>
      </c>
    </row>
    <row r="51" spans="1:46" s="13" customFormat="1">
      <c r="A51" s="3" t="s">
        <v>207</v>
      </c>
      <c r="C51" s="13" t="s">
        <v>152</v>
      </c>
      <c r="E51" s="14">
        <v>2250904</v>
      </c>
      <c r="F51" s="14"/>
      <c r="G51" s="14">
        <v>4093396</v>
      </c>
      <c r="H51" s="14"/>
      <c r="I51" s="14">
        <v>71088</v>
      </c>
      <c r="J51" s="14"/>
      <c r="K51" s="14">
        <f>117504+334+176384</f>
        <v>294222</v>
      </c>
      <c r="L51" s="14"/>
      <c r="M51" s="14">
        <v>0</v>
      </c>
      <c r="N51" s="14"/>
      <c r="O51" s="14">
        <v>0</v>
      </c>
      <c r="P51" s="14"/>
      <c r="Q51" s="14">
        <v>1143</v>
      </c>
      <c r="R51" s="14"/>
      <c r="S51" s="14">
        <v>3891</v>
      </c>
      <c r="T51" s="14"/>
      <c r="U51" s="21">
        <f t="shared" si="3"/>
        <v>6714644</v>
      </c>
      <c r="V51" s="14"/>
      <c r="W51" s="14">
        <v>125000</v>
      </c>
      <c r="X51" s="14"/>
      <c r="Y51" s="14">
        <v>0</v>
      </c>
      <c r="Z51" s="14"/>
      <c r="AA51" s="14">
        <v>0</v>
      </c>
      <c r="AB51" s="14"/>
      <c r="AC51" s="14">
        <v>0</v>
      </c>
      <c r="AD51" s="3" t="s">
        <v>207</v>
      </c>
      <c r="AF51" s="13" t="s">
        <v>152</v>
      </c>
      <c r="AG51" s="14"/>
      <c r="AH51" s="14">
        <v>0</v>
      </c>
      <c r="AI51" s="14"/>
      <c r="AJ51" s="14">
        <v>5250</v>
      </c>
      <c r="AK51" s="14"/>
      <c r="AL51" s="14">
        <v>0</v>
      </c>
      <c r="AM51" s="14"/>
      <c r="AN51" s="14">
        <v>0</v>
      </c>
      <c r="AO51" s="14"/>
      <c r="AP51" s="14">
        <v>0</v>
      </c>
      <c r="AQ51" s="14"/>
      <c r="AR51" s="21">
        <f t="shared" si="4"/>
        <v>130250</v>
      </c>
      <c r="AS51" s="14"/>
      <c r="AT51" s="21">
        <f t="shared" si="5"/>
        <v>6844894</v>
      </c>
    </row>
    <row r="52" spans="1:46" s="13" customFormat="1">
      <c r="A52" s="3" t="s">
        <v>374</v>
      </c>
      <c r="C52" s="13" t="s">
        <v>154</v>
      </c>
      <c r="E52" s="14">
        <v>4657946</v>
      </c>
      <c r="F52" s="14"/>
      <c r="G52" s="14">
        <v>7131435</v>
      </c>
      <c r="H52" s="14"/>
      <c r="I52" s="14">
        <v>27038</v>
      </c>
      <c r="J52" s="14"/>
      <c r="K52" s="14">
        <f>38222+166126+2194</f>
        <v>206542</v>
      </c>
      <c r="L52" s="14"/>
      <c r="M52" s="14">
        <v>0</v>
      </c>
      <c r="N52" s="14"/>
      <c r="O52" s="14">
        <v>0</v>
      </c>
      <c r="P52" s="14"/>
      <c r="Q52" s="14">
        <v>27889</v>
      </c>
      <c r="R52" s="14"/>
      <c r="S52" s="14">
        <v>14432</v>
      </c>
      <c r="T52" s="14"/>
      <c r="U52" s="21">
        <f t="shared" si="3"/>
        <v>12065282</v>
      </c>
      <c r="V52" s="14"/>
      <c r="W52" s="14">
        <v>453977</v>
      </c>
      <c r="X52" s="14"/>
      <c r="Y52" s="14">
        <v>0</v>
      </c>
      <c r="Z52" s="14"/>
      <c r="AA52" s="14">
        <v>0</v>
      </c>
      <c r="AB52" s="14"/>
      <c r="AC52" s="14">
        <v>0</v>
      </c>
      <c r="AD52" s="3" t="s">
        <v>374</v>
      </c>
      <c r="AF52" s="13" t="s">
        <v>154</v>
      </c>
      <c r="AG52" s="14"/>
      <c r="AH52" s="14">
        <v>0</v>
      </c>
      <c r="AI52" s="14"/>
      <c r="AJ52" s="14">
        <v>22631</v>
      </c>
      <c r="AK52" s="14"/>
      <c r="AL52" s="14">
        <v>0</v>
      </c>
      <c r="AM52" s="14"/>
      <c r="AN52" s="14">
        <v>0</v>
      </c>
      <c r="AO52" s="14"/>
      <c r="AP52" s="14">
        <v>0</v>
      </c>
      <c r="AQ52" s="14"/>
      <c r="AR52" s="21">
        <f t="shared" si="4"/>
        <v>476608</v>
      </c>
      <c r="AS52" s="14"/>
      <c r="AT52" s="21">
        <f t="shared" si="5"/>
        <v>12541890</v>
      </c>
    </row>
    <row r="53" spans="1:46" s="13" customFormat="1">
      <c r="A53" s="3" t="s">
        <v>221</v>
      </c>
      <c r="C53" s="13" t="s">
        <v>197</v>
      </c>
      <c r="E53" s="14">
        <v>2176761</v>
      </c>
      <c r="F53" s="14"/>
      <c r="G53" s="14">
        <f>2319+4927672+322721</f>
        <v>5252712</v>
      </c>
      <c r="H53" s="14"/>
      <c r="I53" s="14">
        <v>91007</v>
      </c>
      <c r="J53" s="14"/>
      <c r="K53" s="14">
        <f>41548+129691+6913</f>
        <v>178152</v>
      </c>
      <c r="L53" s="14"/>
      <c r="M53" s="14">
        <v>0</v>
      </c>
      <c r="N53" s="14"/>
      <c r="O53" s="14">
        <v>0</v>
      </c>
      <c r="P53" s="14"/>
      <c r="Q53" s="14">
        <v>0</v>
      </c>
      <c r="R53" s="14"/>
      <c r="S53" s="14">
        <v>234923</v>
      </c>
      <c r="T53" s="14"/>
      <c r="U53" s="21">
        <f t="shared" si="3"/>
        <v>7933555</v>
      </c>
      <c r="V53" s="14"/>
      <c r="W53" s="14">
        <v>0</v>
      </c>
      <c r="X53" s="14"/>
      <c r="Y53" s="14">
        <v>0</v>
      </c>
      <c r="Z53" s="14"/>
      <c r="AA53" s="14">
        <v>0</v>
      </c>
      <c r="AB53" s="14"/>
      <c r="AC53" s="14">
        <v>0</v>
      </c>
      <c r="AD53" s="3" t="s">
        <v>221</v>
      </c>
      <c r="AF53" s="13" t="s">
        <v>197</v>
      </c>
      <c r="AG53" s="14"/>
      <c r="AH53" s="14">
        <v>0</v>
      </c>
      <c r="AI53" s="14"/>
      <c r="AJ53" s="14">
        <v>0</v>
      </c>
      <c r="AK53" s="14"/>
      <c r="AL53" s="14">
        <v>0</v>
      </c>
      <c r="AM53" s="14"/>
      <c r="AN53" s="14">
        <v>0</v>
      </c>
      <c r="AO53" s="14"/>
      <c r="AP53" s="14">
        <v>0</v>
      </c>
      <c r="AQ53" s="14"/>
      <c r="AR53" s="21">
        <f t="shared" si="4"/>
        <v>0</v>
      </c>
      <c r="AS53" s="14"/>
      <c r="AT53" s="21">
        <f t="shared" si="5"/>
        <v>7933555</v>
      </c>
    </row>
    <row r="54" spans="1:46" s="13" customFormat="1">
      <c r="A54" s="3" t="s">
        <v>277</v>
      </c>
      <c r="C54" s="13" t="s">
        <v>216</v>
      </c>
      <c r="E54" s="14">
        <v>9089023</v>
      </c>
      <c r="F54" s="14"/>
      <c r="G54" s="14">
        <v>4007851</v>
      </c>
      <c r="H54" s="14"/>
      <c r="I54" s="14">
        <v>43321</v>
      </c>
      <c r="J54" s="14"/>
      <c r="K54" s="14">
        <f>400201+199218</f>
        <v>599419</v>
      </c>
      <c r="L54" s="14"/>
      <c r="M54" s="14">
        <v>0</v>
      </c>
      <c r="N54" s="14"/>
      <c r="O54" s="14">
        <v>0</v>
      </c>
      <c r="P54" s="14"/>
      <c r="Q54" s="14">
        <v>0</v>
      </c>
      <c r="R54" s="14"/>
      <c r="S54" s="14">
        <v>332285</v>
      </c>
      <c r="T54" s="14"/>
      <c r="U54" s="21">
        <f t="shared" si="3"/>
        <v>14071899</v>
      </c>
      <c r="V54" s="14"/>
      <c r="W54" s="14">
        <v>933781</v>
      </c>
      <c r="X54" s="14"/>
      <c r="Y54" s="14">
        <v>0</v>
      </c>
      <c r="Z54" s="14"/>
      <c r="AA54" s="14">
        <v>0</v>
      </c>
      <c r="AB54" s="14"/>
      <c r="AC54" s="14">
        <v>0</v>
      </c>
      <c r="AD54" s="3" t="s">
        <v>277</v>
      </c>
      <c r="AF54" s="13" t="s">
        <v>216</v>
      </c>
      <c r="AG54" s="14"/>
      <c r="AH54" s="14">
        <v>129381</v>
      </c>
      <c r="AI54" s="14"/>
      <c r="AJ54" s="14">
        <v>13555</v>
      </c>
      <c r="AK54" s="14"/>
      <c r="AL54" s="14">
        <v>0</v>
      </c>
      <c r="AM54" s="14"/>
      <c r="AN54" s="14">
        <v>0</v>
      </c>
      <c r="AO54" s="14"/>
      <c r="AP54" s="14">
        <v>0</v>
      </c>
      <c r="AQ54" s="14"/>
      <c r="AR54" s="21">
        <f t="shared" si="4"/>
        <v>1076717</v>
      </c>
      <c r="AS54" s="14"/>
      <c r="AT54" s="21">
        <f t="shared" si="5"/>
        <v>15148616</v>
      </c>
    </row>
    <row r="55" spans="1:46" s="13" customFormat="1">
      <c r="A55" s="3" t="s">
        <v>290</v>
      </c>
      <c r="C55" s="13" t="s">
        <v>147</v>
      </c>
      <c r="E55" s="14">
        <v>3144834</v>
      </c>
      <c r="F55" s="14"/>
      <c r="G55" s="14">
        <v>4905220</v>
      </c>
      <c r="H55" s="14"/>
      <c r="I55" s="14">
        <v>5858</v>
      </c>
      <c r="J55" s="14"/>
      <c r="K55" s="14">
        <v>46669</v>
      </c>
      <c r="L55" s="14"/>
      <c r="M55" s="14">
        <v>0</v>
      </c>
      <c r="N55" s="14"/>
      <c r="O55" s="14">
        <v>0</v>
      </c>
      <c r="P55" s="14"/>
      <c r="Q55" s="14">
        <v>0</v>
      </c>
      <c r="R55" s="14"/>
      <c r="S55" s="14">
        <v>29834</v>
      </c>
      <c r="T55" s="14"/>
      <c r="U55" s="21">
        <f t="shared" si="3"/>
        <v>8132415</v>
      </c>
      <c r="V55" s="14"/>
      <c r="W55" s="14">
        <v>500000</v>
      </c>
      <c r="X55" s="14"/>
      <c r="Y55" s="14">
        <v>0</v>
      </c>
      <c r="Z55" s="14"/>
      <c r="AA55" s="14">
        <v>0</v>
      </c>
      <c r="AB55" s="14"/>
      <c r="AC55" s="14">
        <v>0</v>
      </c>
      <c r="AD55" s="3" t="s">
        <v>290</v>
      </c>
      <c r="AF55" s="13" t="s">
        <v>147</v>
      </c>
      <c r="AG55" s="14"/>
      <c r="AH55" s="14">
        <v>0</v>
      </c>
      <c r="AI55" s="14"/>
      <c r="AJ55" s="14">
        <v>0</v>
      </c>
      <c r="AK55" s="14"/>
      <c r="AL55" s="14">
        <v>0</v>
      </c>
      <c r="AM55" s="14"/>
      <c r="AN55" s="14">
        <v>0</v>
      </c>
      <c r="AO55" s="14"/>
      <c r="AP55" s="14">
        <v>0</v>
      </c>
      <c r="AQ55" s="14"/>
      <c r="AR55" s="21">
        <f t="shared" si="4"/>
        <v>500000</v>
      </c>
      <c r="AS55" s="14"/>
      <c r="AT55" s="21">
        <f t="shared" si="5"/>
        <v>8632415</v>
      </c>
    </row>
    <row r="56" spans="1:46" s="13" customFormat="1">
      <c r="A56" s="3" t="s">
        <v>217</v>
      </c>
      <c r="C56" s="13" t="s">
        <v>218</v>
      </c>
      <c r="E56" s="14">
        <v>3736649</v>
      </c>
      <c r="F56" s="14"/>
      <c r="G56" s="14">
        <v>7165961</v>
      </c>
      <c r="H56" s="14"/>
      <c r="I56" s="14">
        <v>3396</v>
      </c>
      <c r="J56" s="14"/>
      <c r="K56" s="14">
        <f>1810+31177</f>
        <v>32987</v>
      </c>
      <c r="L56" s="14"/>
      <c r="M56" s="14">
        <v>0</v>
      </c>
      <c r="N56" s="14"/>
      <c r="O56" s="14">
        <v>9490</v>
      </c>
      <c r="P56" s="14"/>
      <c r="Q56" s="14">
        <v>1250</v>
      </c>
      <c r="R56" s="14"/>
      <c r="S56" s="14">
        <v>238201</v>
      </c>
      <c r="T56" s="14"/>
      <c r="U56" s="21">
        <f t="shared" si="3"/>
        <v>11187934</v>
      </c>
      <c r="V56" s="14"/>
      <c r="W56" s="14">
        <v>128215</v>
      </c>
      <c r="X56" s="14"/>
      <c r="Y56" s="14">
        <v>0</v>
      </c>
      <c r="Z56" s="14"/>
      <c r="AA56" s="14">
        <v>0</v>
      </c>
      <c r="AB56" s="14"/>
      <c r="AC56" s="14">
        <v>0</v>
      </c>
      <c r="AD56" s="3" t="s">
        <v>217</v>
      </c>
      <c r="AF56" s="13" t="s">
        <v>218</v>
      </c>
      <c r="AG56" s="14"/>
      <c r="AH56" s="14">
        <v>261980</v>
      </c>
      <c r="AI56" s="14"/>
      <c r="AJ56" s="14">
        <v>0</v>
      </c>
      <c r="AK56" s="14"/>
      <c r="AL56" s="14">
        <v>0</v>
      </c>
      <c r="AM56" s="14"/>
      <c r="AN56" s="14">
        <v>0</v>
      </c>
      <c r="AO56" s="14"/>
      <c r="AP56" s="14">
        <v>0</v>
      </c>
      <c r="AQ56" s="14"/>
      <c r="AR56" s="21">
        <f t="shared" si="4"/>
        <v>390195</v>
      </c>
      <c r="AS56" s="14"/>
      <c r="AT56" s="21">
        <f t="shared" si="5"/>
        <v>11578129</v>
      </c>
    </row>
    <row r="57" spans="1:46" s="13" customFormat="1">
      <c r="A57" s="3" t="s">
        <v>375</v>
      </c>
      <c r="C57" s="13" t="s">
        <v>199</v>
      </c>
      <c r="E57" s="14">
        <v>4958254</v>
      </c>
      <c r="F57" s="14"/>
      <c r="G57" s="14">
        <f>17412+7503316+1232739</f>
        <v>8753467</v>
      </c>
      <c r="H57" s="14"/>
      <c r="I57" s="14">
        <v>96699</v>
      </c>
      <c r="J57" s="14"/>
      <c r="K57" s="14">
        <f>192490+76639+180317+133224</f>
        <v>582670</v>
      </c>
      <c r="L57" s="14"/>
      <c r="M57" s="14">
        <v>15546</v>
      </c>
      <c r="N57" s="14"/>
      <c r="O57" s="14">
        <v>0</v>
      </c>
      <c r="P57" s="14"/>
      <c r="Q57" s="14">
        <v>560</v>
      </c>
      <c r="R57" s="14"/>
      <c r="S57" s="14">
        <v>18972</v>
      </c>
      <c r="T57" s="14"/>
      <c r="U57" s="21">
        <f t="shared" si="3"/>
        <v>14426168</v>
      </c>
      <c r="V57" s="14"/>
      <c r="W57" s="14">
        <v>175000</v>
      </c>
      <c r="X57" s="14"/>
      <c r="Y57" s="14">
        <v>0</v>
      </c>
      <c r="Z57" s="14"/>
      <c r="AA57" s="14">
        <v>0</v>
      </c>
      <c r="AB57" s="14"/>
      <c r="AC57" s="14">
        <v>0</v>
      </c>
      <c r="AD57" s="3" t="s">
        <v>375</v>
      </c>
      <c r="AF57" s="13" t="s">
        <v>199</v>
      </c>
      <c r="AG57" s="14"/>
      <c r="AH57" s="14">
        <v>0</v>
      </c>
      <c r="AI57" s="14"/>
      <c r="AJ57" s="14">
        <v>1571</v>
      </c>
      <c r="AK57" s="14"/>
      <c r="AL57" s="14">
        <v>0</v>
      </c>
      <c r="AM57" s="14"/>
      <c r="AN57" s="14">
        <v>0</v>
      </c>
      <c r="AO57" s="14"/>
      <c r="AP57" s="14">
        <v>0</v>
      </c>
      <c r="AQ57" s="14"/>
      <c r="AR57" s="21">
        <f t="shared" si="4"/>
        <v>176571</v>
      </c>
      <c r="AS57" s="14"/>
      <c r="AT57" s="21">
        <f t="shared" si="5"/>
        <v>14602739</v>
      </c>
    </row>
    <row r="58" spans="1:46" s="13" customFormat="1">
      <c r="A58" s="3" t="s">
        <v>208</v>
      </c>
      <c r="C58" s="13" t="s">
        <v>156</v>
      </c>
      <c r="E58" s="14">
        <v>2997511</v>
      </c>
      <c r="F58" s="14"/>
      <c r="G58" s="14">
        <v>4083415</v>
      </c>
      <c r="H58" s="14"/>
      <c r="I58" s="14">
        <v>206798</v>
      </c>
      <c r="J58" s="14"/>
      <c r="K58" s="14">
        <f>176874+181224</f>
        <v>358098</v>
      </c>
      <c r="L58" s="14"/>
      <c r="M58" s="14">
        <v>0</v>
      </c>
      <c r="N58" s="14"/>
      <c r="O58" s="14">
        <v>0</v>
      </c>
      <c r="P58" s="14"/>
      <c r="Q58" s="14">
        <v>0</v>
      </c>
      <c r="R58" s="14"/>
      <c r="S58" s="14">
        <v>66734</v>
      </c>
      <c r="T58" s="14"/>
      <c r="U58" s="21">
        <f t="shared" si="3"/>
        <v>7712556</v>
      </c>
      <c r="V58" s="14"/>
      <c r="W58" s="14">
        <v>100000</v>
      </c>
      <c r="X58" s="14"/>
      <c r="Y58" s="14">
        <v>0</v>
      </c>
      <c r="Z58" s="14"/>
      <c r="AA58" s="14">
        <v>0</v>
      </c>
      <c r="AB58" s="14"/>
      <c r="AC58" s="14">
        <v>0</v>
      </c>
      <c r="AD58" s="3" t="s">
        <v>208</v>
      </c>
      <c r="AF58" s="13" t="s">
        <v>156</v>
      </c>
      <c r="AG58" s="14"/>
      <c r="AH58" s="14">
        <v>0</v>
      </c>
      <c r="AI58" s="14"/>
      <c r="AJ58" s="14">
        <v>300</v>
      </c>
      <c r="AK58" s="14"/>
      <c r="AL58" s="14">
        <v>0</v>
      </c>
      <c r="AM58" s="14"/>
      <c r="AN58" s="14">
        <v>0</v>
      </c>
      <c r="AO58" s="14"/>
      <c r="AP58" s="14">
        <v>0</v>
      </c>
      <c r="AQ58" s="14"/>
      <c r="AR58" s="21">
        <f t="shared" si="4"/>
        <v>100300</v>
      </c>
      <c r="AS58" s="14"/>
      <c r="AT58" s="21">
        <f t="shared" si="5"/>
        <v>7812856</v>
      </c>
    </row>
    <row r="59" spans="1:46" s="13" customFormat="1">
      <c r="A59" s="3" t="s">
        <v>363</v>
      </c>
      <c r="C59" s="13" t="s">
        <v>182</v>
      </c>
      <c r="E59" s="14">
        <v>6852534</v>
      </c>
      <c r="F59" s="14"/>
      <c r="G59" s="14">
        <v>22842288</v>
      </c>
      <c r="H59" s="14"/>
      <c r="I59" s="14">
        <v>47884</v>
      </c>
      <c r="J59" s="14"/>
      <c r="K59" s="14">
        <f>1204434+274929+625</f>
        <v>1479988</v>
      </c>
      <c r="L59" s="14"/>
      <c r="M59" s="14">
        <v>0</v>
      </c>
      <c r="N59" s="14"/>
      <c r="O59" s="14">
        <v>0</v>
      </c>
      <c r="P59" s="14"/>
      <c r="Q59" s="14">
        <v>18967</v>
      </c>
      <c r="R59" s="14"/>
      <c r="S59" s="14">
        <v>221765</v>
      </c>
      <c r="T59" s="14"/>
      <c r="U59" s="21">
        <f t="shared" si="3"/>
        <v>31463426</v>
      </c>
      <c r="V59" s="14"/>
      <c r="W59" s="14">
        <v>375000</v>
      </c>
      <c r="X59" s="14"/>
      <c r="Y59" s="14">
        <v>0</v>
      </c>
      <c r="Z59" s="14"/>
      <c r="AA59" s="14">
        <v>0</v>
      </c>
      <c r="AB59" s="14"/>
      <c r="AC59" s="14">
        <v>0</v>
      </c>
      <c r="AD59" s="3" t="s">
        <v>363</v>
      </c>
      <c r="AF59" s="13" t="s">
        <v>182</v>
      </c>
      <c r="AG59" s="14"/>
      <c r="AH59" s="14">
        <v>0</v>
      </c>
      <c r="AI59" s="14"/>
      <c r="AJ59" s="14">
        <v>0</v>
      </c>
      <c r="AK59" s="14"/>
      <c r="AL59" s="14">
        <v>0</v>
      </c>
      <c r="AM59" s="14"/>
      <c r="AN59" s="14">
        <v>0</v>
      </c>
      <c r="AO59" s="14"/>
      <c r="AP59" s="14">
        <v>0</v>
      </c>
      <c r="AQ59" s="14"/>
      <c r="AR59" s="21">
        <f t="shared" si="4"/>
        <v>375000</v>
      </c>
      <c r="AS59" s="14"/>
      <c r="AT59" s="21">
        <f t="shared" si="5"/>
        <v>31838426</v>
      </c>
    </row>
    <row r="60" spans="1:46" s="13" customFormat="1">
      <c r="A60" s="3" t="s">
        <v>253</v>
      </c>
      <c r="C60" s="13" t="s">
        <v>193</v>
      </c>
      <c r="E60" s="14">
        <v>3145123</v>
      </c>
      <c r="F60" s="14"/>
      <c r="G60" s="14">
        <f>17165576+571171</f>
        <v>17736747</v>
      </c>
      <c r="H60" s="14"/>
      <c r="I60" s="14">
        <v>170024</v>
      </c>
      <c r="J60" s="14"/>
      <c r="K60" s="14">
        <f>486473+72344+113183+102911+131582</f>
        <v>906493</v>
      </c>
      <c r="L60" s="14"/>
      <c r="M60" s="14">
        <v>0</v>
      </c>
      <c r="N60" s="14"/>
      <c r="O60" s="14">
        <v>0</v>
      </c>
      <c r="P60" s="14"/>
      <c r="Q60" s="14">
        <v>3070</v>
      </c>
      <c r="R60" s="14"/>
      <c r="S60" s="14">
        <v>284313</v>
      </c>
      <c r="T60" s="14"/>
      <c r="U60" s="21">
        <f t="shared" si="3"/>
        <v>22245770</v>
      </c>
      <c r="V60" s="14"/>
      <c r="W60" s="14">
        <v>1209644</v>
      </c>
      <c r="X60" s="14"/>
      <c r="Y60" s="14">
        <v>0</v>
      </c>
      <c r="Z60" s="14"/>
      <c r="AA60" s="14">
        <v>0</v>
      </c>
      <c r="AB60" s="14"/>
      <c r="AC60" s="14">
        <v>0</v>
      </c>
      <c r="AD60" s="3" t="s">
        <v>253</v>
      </c>
      <c r="AF60" s="13" t="s">
        <v>193</v>
      </c>
      <c r="AG60" s="14"/>
      <c r="AH60" s="14">
        <v>0</v>
      </c>
      <c r="AI60" s="14"/>
      <c r="AJ60" s="14">
        <v>0</v>
      </c>
      <c r="AK60" s="14"/>
      <c r="AL60" s="14">
        <v>0</v>
      </c>
      <c r="AM60" s="14"/>
      <c r="AN60" s="14">
        <v>0</v>
      </c>
      <c r="AO60" s="14"/>
      <c r="AP60" s="14">
        <v>0</v>
      </c>
      <c r="AQ60" s="14"/>
      <c r="AR60" s="21">
        <f t="shared" si="4"/>
        <v>1209644</v>
      </c>
      <c r="AS60" s="14"/>
      <c r="AT60" s="21">
        <f t="shared" si="5"/>
        <v>23455414</v>
      </c>
    </row>
    <row r="61" spans="1:46" s="13" customFormat="1">
      <c r="A61" s="3" t="s">
        <v>254</v>
      </c>
      <c r="C61" s="13" t="s">
        <v>202</v>
      </c>
      <c r="E61" s="14">
        <v>4016203</v>
      </c>
      <c r="F61" s="14"/>
      <c r="G61" s="14">
        <f>28082+12870422+758972</f>
        <v>13657476</v>
      </c>
      <c r="H61" s="14"/>
      <c r="I61" s="14">
        <v>179987</v>
      </c>
      <c r="J61" s="14"/>
      <c r="K61" s="14">
        <f>813171+288778+19865+2312+116104</f>
        <v>1240230</v>
      </c>
      <c r="L61" s="14"/>
      <c r="M61" s="14">
        <v>689</v>
      </c>
      <c r="N61" s="14"/>
      <c r="O61" s="14">
        <v>0</v>
      </c>
      <c r="P61" s="14"/>
      <c r="Q61" s="14">
        <v>58000</v>
      </c>
      <c r="R61" s="14"/>
      <c r="S61" s="14">
        <v>55521</v>
      </c>
      <c r="T61" s="14"/>
      <c r="U61" s="21">
        <f t="shared" si="3"/>
        <v>19208106</v>
      </c>
      <c r="V61" s="14"/>
      <c r="W61" s="14">
        <v>360040</v>
      </c>
      <c r="X61" s="14"/>
      <c r="Y61" s="14">
        <v>0</v>
      </c>
      <c r="Z61" s="14"/>
      <c r="AA61" s="14">
        <v>0</v>
      </c>
      <c r="AB61" s="14"/>
      <c r="AC61" s="14">
        <v>0</v>
      </c>
      <c r="AD61" s="3" t="s">
        <v>254</v>
      </c>
      <c r="AF61" s="13" t="s">
        <v>202</v>
      </c>
      <c r="AG61" s="14"/>
      <c r="AH61" s="14">
        <v>0</v>
      </c>
      <c r="AI61" s="14"/>
      <c r="AJ61" s="14">
        <v>0</v>
      </c>
      <c r="AK61" s="14"/>
      <c r="AL61" s="14">
        <v>0</v>
      </c>
      <c r="AM61" s="14"/>
      <c r="AN61" s="14">
        <v>0</v>
      </c>
      <c r="AO61" s="14"/>
      <c r="AP61" s="14">
        <v>0</v>
      </c>
      <c r="AQ61" s="14"/>
      <c r="AR61" s="21">
        <f t="shared" si="4"/>
        <v>360040</v>
      </c>
      <c r="AS61" s="14"/>
      <c r="AT61" s="21">
        <f t="shared" si="5"/>
        <v>19568146</v>
      </c>
    </row>
    <row r="62" spans="1:46" s="13" customFormat="1">
      <c r="A62" s="3" t="s">
        <v>360</v>
      </c>
      <c r="C62" s="13" t="s">
        <v>203</v>
      </c>
      <c r="E62" s="14">
        <v>7653563</v>
      </c>
      <c r="F62" s="14"/>
      <c r="G62" s="14">
        <v>7142244</v>
      </c>
      <c r="H62" s="14"/>
      <c r="I62" s="14">
        <v>175865</v>
      </c>
      <c r="J62" s="14"/>
      <c r="K62" s="14">
        <f>176293+3062534+29755</f>
        <v>3268582</v>
      </c>
      <c r="L62" s="14"/>
      <c r="M62" s="14">
        <v>0</v>
      </c>
      <c r="N62" s="14"/>
      <c r="O62" s="14">
        <v>129520</v>
      </c>
      <c r="P62" s="14"/>
      <c r="Q62" s="14">
        <v>7077</v>
      </c>
      <c r="R62" s="14"/>
      <c r="S62" s="14">
        <v>172270</v>
      </c>
      <c r="T62" s="14"/>
      <c r="U62" s="21">
        <f t="shared" si="3"/>
        <v>18549121</v>
      </c>
      <c r="V62" s="14"/>
      <c r="W62" s="14">
        <v>8396666</v>
      </c>
      <c r="X62" s="3"/>
      <c r="Y62" s="14">
        <v>0</v>
      </c>
      <c r="Z62" s="14"/>
      <c r="AA62" s="14">
        <v>0</v>
      </c>
      <c r="AB62" s="14"/>
      <c r="AC62" s="14">
        <v>0</v>
      </c>
      <c r="AD62" s="3" t="s">
        <v>360</v>
      </c>
      <c r="AF62" s="13" t="s">
        <v>203</v>
      </c>
      <c r="AG62" s="14"/>
      <c r="AH62" s="14">
        <v>75240</v>
      </c>
      <c r="AI62" s="14"/>
      <c r="AJ62" s="14">
        <v>2309</v>
      </c>
      <c r="AK62" s="14"/>
      <c r="AL62" s="14"/>
      <c r="AM62" s="14"/>
      <c r="AN62" s="14">
        <v>0</v>
      </c>
      <c r="AO62" s="14"/>
      <c r="AP62" s="14">
        <v>0</v>
      </c>
      <c r="AQ62" s="14"/>
      <c r="AR62" s="21">
        <f t="shared" si="4"/>
        <v>8474215</v>
      </c>
      <c r="AS62" s="14"/>
      <c r="AT62" s="21">
        <f t="shared" si="5"/>
        <v>27023336</v>
      </c>
    </row>
    <row r="63" spans="1:46" s="13" customFormat="1">
      <c r="A63" s="3" t="s">
        <v>267</v>
      </c>
      <c r="C63" s="13" t="s">
        <v>204</v>
      </c>
      <c r="E63" s="14">
        <v>1902320</v>
      </c>
      <c r="F63" s="14"/>
      <c r="G63" s="14">
        <v>4533365</v>
      </c>
      <c r="H63" s="14"/>
      <c r="I63" s="14">
        <v>161804</v>
      </c>
      <c r="J63" s="14"/>
      <c r="K63" s="14">
        <f>27865+126130</f>
        <v>153995</v>
      </c>
      <c r="L63" s="14"/>
      <c r="M63" s="14">
        <v>0</v>
      </c>
      <c r="N63" s="14"/>
      <c r="O63" s="14">
        <v>50603</v>
      </c>
      <c r="P63" s="14"/>
      <c r="Q63" s="14">
        <v>17948</v>
      </c>
      <c r="R63" s="14"/>
      <c r="S63" s="14">
        <v>19243</v>
      </c>
      <c r="T63" s="14"/>
      <c r="U63" s="21">
        <f t="shared" si="3"/>
        <v>6839278</v>
      </c>
      <c r="V63" s="14"/>
      <c r="W63" s="14">
        <v>80000</v>
      </c>
      <c r="X63" s="14"/>
      <c r="Y63" s="14">
        <v>0</v>
      </c>
      <c r="Z63" s="14"/>
      <c r="AA63" s="14">
        <v>0</v>
      </c>
      <c r="AB63" s="14"/>
      <c r="AC63" s="14">
        <v>0</v>
      </c>
      <c r="AD63" s="3" t="s">
        <v>267</v>
      </c>
      <c r="AF63" s="13" t="s">
        <v>204</v>
      </c>
      <c r="AG63" s="14"/>
      <c r="AH63" s="14">
        <v>0</v>
      </c>
      <c r="AI63" s="14"/>
      <c r="AJ63" s="14">
        <v>897</v>
      </c>
      <c r="AK63" s="14"/>
      <c r="AL63" s="14"/>
      <c r="AM63" s="14"/>
      <c r="AN63" s="14">
        <v>0</v>
      </c>
      <c r="AO63" s="14"/>
      <c r="AP63" s="14">
        <v>0</v>
      </c>
      <c r="AQ63" s="14"/>
      <c r="AR63" s="21">
        <f t="shared" si="4"/>
        <v>80897</v>
      </c>
      <c r="AS63" s="14"/>
      <c r="AT63" s="21">
        <f t="shared" si="5"/>
        <v>6920175</v>
      </c>
    </row>
    <row r="64" spans="1:46" s="13" customFormat="1">
      <c r="A64" s="3" t="s">
        <v>361</v>
      </c>
      <c r="C64" s="13" t="s">
        <v>205</v>
      </c>
      <c r="E64" s="14">
        <v>6122058</v>
      </c>
      <c r="F64" s="14"/>
      <c r="G64" s="14">
        <v>9333165</v>
      </c>
      <c r="H64" s="14"/>
      <c r="I64" s="14">
        <v>18379</v>
      </c>
      <c r="J64" s="14"/>
      <c r="K64" s="14">
        <f>1240162+282946</f>
        <v>1523108</v>
      </c>
      <c r="L64" s="14"/>
      <c r="M64" s="14">
        <v>0</v>
      </c>
      <c r="N64" s="14"/>
      <c r="O64" s="14">
        <v>0</v>
      </c>
      <c r="P64" s="14"/>
      <c r="Q64" s="14">
        <v>104571</v>
      </c>
      <c r="R64" s="14"/>
      <c r="S64" s="14">
        <v>41531</v>
      </c>
      <c r="T64" s="14"/>
      <c r="U64" s="21">
        <f t="shared" si="3"/>
        <v>17142812</v>
      </c>
      <c r="V64" s="14"/>
      <c r="W64" s="14">
        <v>164757</v>
      </c>
      <c r="X64" s="14"/>
      <c r="Y64" s="14">
        <v>0</v>
      </c>
      <c r="Z64" s="14"/>
      <c r="AA64" s="14">
        <v>0</v>
      </c>
      <c r="AB64" s="14"/>
      <c r="AC64" s="14">
        <v>0</v>
      </c>
      <c r="AD64" s="3" t="s">
        <v>361</v>
      </c>
      <c r="AF64" s="13" t="s">
        <v>205</v>
      </c>
      <c r="AG64" s="14"/>
      <c r="AH64" s="14">
        <v>0</v>
      </c>
      <c r="AI64" s="14"/>
      <c r="AJ64" s="14">
        <v>0</v>
      </c>
      <c r="AK64" s="14"/>
      <c r="AL64" s="14"/>
      <c r="AM64" s="14"/>
      <c r="AN64" s="14">
        <v>22633</v>
      </c>
      <c r="AO64" s="14"/>
      <c r="AP64" s="14">
        <v>0</v>
      </c>
      <c r="AQ64" s="14"/>
      <c r="AR64" s="21">
        <f t="shared" si="4"/>
        <v>187390</v>
      </c>
      <c r="AS64" s="14"/>
      <c r="AT64" s="21">
        <f t="shared" si="5"/>
        <v>17330202</v>
      </c>
    </row>
    <row r="65" spans="1:46" s="13" customFormat="1">
      <c r="A65" s="3"/>
      <c r="C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AB65" s="3"/>
      <c r="AC65" s="3"/>
      <c r="AD65" s="3"/>
      <c r="AF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21"/>
      <c r="AS65" s="3"/>
      <c r="AT65" s="3"/>
    </row>
    <row r="66" spans="1:46" s="13" customFormat="1">
      <c r="A66" s="72"/>
      <c r="B66" s="72"/>
      <c r="C66" s="72"/>
      <c r="D66" s="72"/>
      <c r="E66" s="72"/>
      <c r="AA66" s="30" t="s">
        <v>257</v>
      </c>
      <c r="AH66" s="3"/>
      <c r="AI66" s="3"/>
      <c r="AJ66" s="14"/>
      <c r="AK66" s="3"/>
      <c r="AL66" s="3"/>
      <c r="AM66" s="3"/>
      <c r="AN66" s="3"/>
      <c r="AO66" s="3"/>
      <c r="AP66" s="3"/>
      <c r="AQ66" s="3"/>
      <c r="AR66" s="21"/>
      <c r="AS66" s="3"/>
      <c r="AT66" s="14" t="s">
        <v>257</v>
      </c>
    </row>
    <row r="67" spans="1:46" s="13" customFormat="1">
      <c r="A67" s="31" t="s">
        <v>256</v>
      </c>
      <c r="AD67" s="31" t="s">
        <v>256</v>
      </c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21"/>
      <c r="AS67" s="3"/>
      <c r="AT67" s="3"/>
    </row>
    <row r="68" spans="1:46" s="13" customFormat="1">
      <c r="A68" s="31"/>
      <c r="AD68" s="31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21"/>
      <c r="AS68" s="3"/>
      <c r="AT68" s="3"/>
    </row>
    <row r="69" spans="1:46" s="17" customFormat="1" hidden="1">
      <c r="A69" s="3" t="s">
        <v>333</v>
      </c>
      <c r="B69" s="3"/>
      <c r="C69" s="3" t="s">
        <v>263</v>
      </c>
      <c r="E69" s="14">
        <v>0</v>
      </c>
      <c r="F69" s="14"/>
      <c r="G69" s="14">
        <v>0</v>
      </c>
      <c r="H69" s="14"/>
      <c r="I69" s="14">
        <v>0</v>
      </c>
      <c r="J69" s="14"/>
      <c r="K69" s="14">
        <v>0</v>
      </c>
      <c r="L69" s="14"/>
      <c r="M69" s="14">
        <v>0</v>
      </c>
      <c r="N69" s="14"/>
      <c r="O69" s="14">
        <v>0</v>
      </c>
      <c r="P69" s="14"/>
      <c r="Q69" s="14">
        <v>0</v>
      </c>
      <c r="R69" s="14"/>
      <c r="S69" s="14">
        <v>0</v>
      </c>
      <c r="T69" s="14"/>
      <c r="U69" s="21">
        <f t="shared" ref="U69:U100" si="6">SUM(E69:T69)</f>
        <v>0</v>
      </c>
      <c r="V69" s="14"/>
      <c r="W69" s="14">
        <v>0</v>
      </c>
      <c r="X69" s="14"/>
      <c r="Y69" s="14">
        <v>0</v>
      </c>
      <c r="Z69" s="14"/>
      <c r="AA69" s="14">
        <v>0</v>
      </c>
      <c r="AB69" s="14"/>
      <c r="AC69" s="14">
        <v>0</v>
      </c>
      <c r="AD69" s="3" t="s">
        <v>333</v>
      </c>
      <c r="AE69" s="3"/>
      <c r="AF69" s="3" t="s">
        <v>263</v>
      </c>
      <c r="AG69" s="60"/>
      <c r="AH69" s="14">
        <v>0</v>
      </c>
      <c r="AI69" s="14"/>
      <c r="AJ69" s="14">
        <v>0</v>
      </c>
      <c r="AK69" s="14"/>
      <c r="AL69" s="14"/>
      <c r="AM69" s="14"/>
      <c r="AN69" s="14">
        <v>0</v>
      </c>
      <c r="AO69" s="14"/>
      <c r="AP69" s="14">
        <v>0</v>
      </c>
      <c r="AQ69" s="14"/>
      <c r="AR69" s="21">
        <f t="shared" ref="AR69:AR100" si="7">SUM(W69:AP69)</f>
        <v>0</v>
      </c>
      <c r="AS69" s="14"/>
      <c r="AT69" s="21">
        <f t="shared" ref="AT69:AT100" si="8">+AR69+U69</f>
        <v>0</v>
      </c>
    </row>
    <row r="70" spans="1:46" s="17" customFormat="1" hidden="1">
      <c r="A70" s="3" t="s">
        <v>334</v>
      </c>
      <c r="B70" s="3"/>
      <c r="C70" s="3" t="s">
        <v>146</v>
      </c>
      <c r="E70" s="14">
        <v>0</v>
      </c>
      <c r="F70" s="14"/>
      <c r="G70" s="14">
        <v>0</v>
      </c>
      <c r="H70" s="14"/>
      <c r="I70" s="14">
        <v>0</v>
      </c>
      <c r="J70" s="14"/>
      <c r="K70" s="14">
        <v>0</v>
      </c>
      <c r="L70" s="14"/>
      <c r="M70" s="14">
        <v>0</v>
      </c>
      <c r="N70" s="14"/>
      <c r="O70" s="14">
        <v>0</v>
      </c>
      <c r="P70" s="14"/>
      <c r="Q70" s="14">
        <v>0</v>
      </c>
      <c r="R70" s="14"/>
      <c r="S70" s="14">
        <v>0</v>
      </c>
      <c r="T70" s="14"/>
      <c r="U70" s="21">
        <f t="shared" si="6"/>
        <v>0</v>
      </c>
      <c r="V70" s="14"/>
      <c r="W70" s="14">
        <v>0</v>
      </c>
      <c r="X70" s="14"/>
      <c r="Y70" s="14">
        <v>0</v>
      </c>
      <c r="Z70" s="14"/>
      <c r="AA70" s="14">
        <v>0</v>
      </c>
      <c r="AB70" s="14"/>
      <c r="AC70" s="14">
        <v>0</v>
      </c>
      <c r="AD70" s="3" t="s">
        <v>334</v>
      </c>
      <c r="AE70" s="3"/>
      <c r="AF70" s="3" t="s">
        <v>146</v>
      </c>
      <c r="AG70" s="14"/>
      <c r="AH70" s="14">
        <v>0</v>
      </c>
      <c r="AI70" s="14"/>
      <c r="AJ70" s="14">
        <v>0</v>
      </c>
      <c r="AK70" s="14"/>
      <c r="AL70" s="14"/>
      <c r="AM70" s="14"/>
      <c r="AN70" s="14">
        <v>0</v>
      </c>
      <c r="AO70" s="14"/>
      <c r="AP70" s="14">
        <v>0</v>
      </c>
      <c r="AQ70" s="14"/>
      <c r="AR70" s="21">
        <f t="shared" si="7"/>
        <v>0</v>
      </c>
      <c r="AS70" s="14"/>
      <c r="AT70" s="21">
        <f t="shared" si="8"/>
        <v>0</v>
      </c>
    </row>
    <row r="71" spans="1:46" s="13" customFormat="1">
      <c r="A71" s="3" t="s">
        <v>150</v>
      </c>
      <c r="C71" s="13" t="s">
        <v>147</v>
      </c>
      <c r="E71" s="60">
        <v>0</v>
      </c>
      <c r="F71" s="60"/>
      <c r="G71" s="60">
        <v>5016330</v>
      </c>
      <c r="H71" s="60"/>
      <c r="I71" s="60">
        <v>7103</v>
      </c>
      <c r="J71" s="60"/>
      <c r="K71" s="60">
        <f>2070057+1142442+1015199</f>
        <v>4227698</v>
      </c>
      <c r="L71" s="60"/>
      <c r="M71" s="60">
        <v>0</v>
      </c>
      <c r="N71" s="60"/>
      <c r="O71" s="60">
        <v>0</v>
      </c>
      <c r="P71" s="60"/>
      <c r="Q71" s="60">
        <v>5507</v>
      </c>
      <c r="R71" s="60"/>
      <c r="S71" s="60">
        <v>130876</v>
      </c>
      <c r="T71" s="60"/>
      <c r="U71" s="63">
        <f t="shared" si="6"/>
        <v>9387514</v>
      </c>
      <c r="V71" s="60"/>
      <c r="W71" s="60">
        <v>0</v>
      </c>
      <c r="X71" s="60"/>
      <c r="Y71" s="60">
        <v>0</v>
      </c>
      <c r="Z71" s="60"/>
      <c r="AA71" s="60">
        <v>0</v>
      </c>
      <c r="AB71" s="60"/>
      <c r="AC71" s="60">
        <v>0</v>
      </c>
      <c r="AD71" s="3" t="s">
        <v>150</v>
      </c>
      <c r="AF71" s="13" t="s">
        <v>147</v>
      </c>
      <c r="AG71" s="60"/>
      <c r="AH71" s="60">
        <v>0</v>
      </c>
      <c r="AI71" s="60"/>
      <c r="AJ71" s="60">
        <v>0</v>
      </c>
      <c r="AK71" s="60"/>
      <c r="AL71" s="60"/>
      <c r="AM71" s="60"/>
      <c r="AN71" s="60">
        <v>0</v>
      </c>
      <c r="AO71" s="60"/>
      <c r="AP71" s="60">
        <v>0</v>
      </c>
      <c r="AQ71" s="60"/>
      <c r="AR71" s="63">
        <f t="shared" si="7"/>
        <v>0</v>
      </c>
      <c r="AS71" s="60"/>
      <c r="AT71" s="63">
        <f t="shared" si="8"/>
        <v>9387514</v>
      </c>
    </row>
    <row r="72" spans="1:46" s="13" customFormat="1" hidden="1">
      <c r="A72" s="3" t="s">
        <v>335</v>
      </c>
      <c r="B72" s="3"/>
      <c r="C72" s="3" t="s">
        <v>264</v>
      </c>
      <c r="E72" s="14">
        <v>0</v>
      </c>
      <c r="F72" s="14"/>
      <c r="G72" s="14">
        <v>0</v>
      </c>
      <c r="H72" s="14"/>
      <c r="I72" s="14">
        <v>0</v>
      </c>
      <c r="J72" s="14"/>
      <c r="K72" s="14">
        <v>0</v>
      </c>
      <c r="L72" s="14"/>
      <c r="M72" s="14">
        <v>0</v>
      </c>
      <c r="N72" s="14"/>
      <c r="O72" s="14">
        <v>0</v>
      </c>
      <c r="P72" s="14"/>
      <c r="Q72" s="14">
        <v>0</v>
      </c>
      <c r="R72" s="14"/>
      <c r="S72" s="14">
        <v>0</v>
      </c>
      <c r="T72" s="14"/>
      <c r="U72" s="21">
        <f t="shared" si="6"/>
        <v>0</v>
      </c>
      <c r="V72" s="14"/>
      <c r="W72" s="14">
        <v>0</v>
      </c>
      <c r="X72" s="14"/>
      <c r="Y72" s="14">
        <v>0</v>
      </c>
      <c r="Z72" s="14"/>
      <c r="AA72" s="14">
        <v>0</v>
      </c>
      <c r="AB72" s="14"/>
      <c r="AC72" s="14"/>
      <c r="AD72" s="3" t="s">
        <v>335</v>
      </c>
      <c r="AE72" s="3"/>
      <c r="AF72" s="3" t="s">
        <v>264</v>
      </c>
      <c r="AG72" s="14"/>
      <c r="AH72" s="14">
        <v>0</v>
      </c>
      <c r="AI72" s="14"/>
      <c r="AJ72" s="14">
        <v>0</v>
      </c>
      <c r="AK72" s="14"/>
      <c r="AL72" s="14"/>
      <c r="AM72" s="14"/>
      <c r="AN72" s="14">
        <v>0</v>
      </c>
      <c r="AO72" s="14"/>
      <c r="AP72" s="14">
        <v>0</v>
      </c>
      <c r="AQ72" s="14"/>
      <c r="AR72" s="21">
        <f t="shared" si="7"/>
        <v>0</v>
      </c>
      <c r="AS72" s="14"/>
      <c r="AT72" s="21">
        <f t="shared" si="8"/>
        <v>0</v>
      </c>
    </row>
    <row r="73" spans="1:46" s="13" customFormat="1">
      <c r="A73" s="13" t="s">
        <v>291</v>
      </c>
      <c r="C73" s="13" t="s">
        <v>152</v>
      </c>
      <c r="E73" s="14">
        <v>0</v>
      </c>
      <c r="F73" s="14"/>
      <c r="G73" s="14">
        <v>1098254</v>
      </c>
      <c r="H73" s="14"/>
      <c r="I73" s="14">
        <v>12007</v>
      </c>
      <c r="J73" s="14"/>
      <c r="K73" s="14">
        <v>120476</v>
      </c>
      <c r="L73" s="14"/>
      <c r="M73" s="14">
        <v>0</v>
      </c>
      <c r="N73" s="14"/>
      <c r="O73" s="14">
        <v>0</v>
      </c>
      <c r="P73" s="14"/>
      <c r="Q73" s="14">
        <v>0</v>
      </c>
      <c r="R73" s="14"/>
      <c r="S73" s="14">
        <v>3560139</v>
      </c>
      <c r="T73" s="14"/>
      <c r="U73" s="21">
        <f t="shared" si="6"/>
        <v>4790876</v>
      </c>
      <c r="V73" s="14"/>
      <c r="W73" s="14">
        <v>0</v>
      </c>
      <c r="X73" s="14"/>
      <c r="Y73" s="14">
        <v>0</v>
      </c>
      <c r="Z73" s="14"/>
      <c r="AA73" s="14">
        <v>0</v>
      </c>
      <c r="AB73" s="14"/>
      <c r="AC73" s="14">
        <v>0</v>
      </c>
      <c r="AD73" s="13" t="s">
        <v>291</v>
      </c>
      <c r="AF73" s="13" t="s">
        <v>152</v>
      </c>
      <c r="AG73" s="14"/>
      <c r="AH73" s="14">
        <v>0</v>
      </c>
      <c r="AI73" s="14"/>
      <c r="AJ73" s="14">
        <v>0</v>
      </c>
      <c r="AK73" s="14"/>
      <c r="AL73" s="14">
        <v>0</v>
      </c>
      <c r="AM73" s="14"/>
      <c r="AN73" s="14">
        <v>0</v>
      </c>
      <c r="AO73" s="14"/>
      <c r="AP73" s="14">
        <v>0</v>
      </c>
      <c r="AQ73" s="14"/>
      <c r="AR73" s="21">
        <f t="shared" si="7"/>
        <v>0</v>
      </c>
      <c r="AS73" s="14"/>
      <c r="AT73" s="21">
        <f t="shared" si="8"/>
        <v>4790876</v>
      </c>
    </row>
    <row r="74" spans="1:46" s="13" customFormat="1">
      <c r="A74" s="13" t="s">
        <v>292</v>
      </c>
      <c r="C74" s="13" t="s">
        <v>149</v>
      </c>
      <c r="E74" s="14">
        <v>0</v>
      </c>
      <c r="F74" s="14"/>
      <c r="G74" s="14">
        <v>8362669</v>
      </c>
      <c r="H74" s="14"/>
      <c r="I74" s="14">
        <v>511</v>
      </c>
      <c r="J74" s="14"/>
      <c r="K74" s="14">
        <v>136077</v>
      </c>
      <c r="L74" s="14"/>
      <c r="M74" s="14">
        <v>0</v>
      </c>
      <c r="N74" s="14"/>
      <c r="O74" s="14">
        <v>0</v>
      </c>
      <c r="P74" s="14"/>
      <c r="Q74" s="14">
        <v>0</v>
      </c>
      <c r="R74" s="14"/>
      <c r="S74" s="14">
        <f>647833+7108993</f>
        <v>7756826</v>
      </c>
      <c r="T74" s="14"/>
      <c r="U74" s="21">
        <f t="shared" si="6"/>
        <v>16256083</v>
      </c>
      <c r="V74" s="14"/>
      <c r="W74" s="14">
        <v>0</v>
      </c>
      <c r="X74" s="14"/>
      <c r="Y74" s="14">
        <v>0</v>
      </c>
      <c r="Z74" s="14"/>
      <c r="AA74" s="14">
        <v>0</v>
      </c>
      <c r="AB74" s="14"/>
      <c r="AC74" s="14">
        <v>0</v>
      </c>
      <c r="AD74" s="13" t="s">
        <v>292</v>
      </c>
      <c r="AF74" s="13" t="s">
        <v>149</v>
      </c>
      <c r="AG74" s="14"/>
      <c r="AH74" s="14">
        <v>0</v>
      </c>
      <c r="AI74" s="14"/>
      <c r="AJ74" s="14">
        <v>0</v>
      </c>
      <c r="AK74" s="14"/>
      <c r="AL74" s="14">
        <v>0</v>
      </c>
      <c r="AM74" s="14"/>
      <c r="AN74" s="14">
        <v>0</v>
      </c>
      <c r="AO74" s="14"/>
      <c r="AP74" s="14">
        <v>0</v>
      </c>
      <c r="AQ74" s="14"/>
      <c r="AR74" s="21">
        <f t="shared" si="7"/>
        <v>0</v>
      </c>
      <c r="AS74" s="14"/>
      <c r="AT74" s="21">
        <f t="shared" si="8"/>
        <v>16256083</v>
      </c>
    </row>
    <row r="75" spans="1:46" s="13" customFormat="1">
      <c r="A75" s="13" t="s">
        <v>293</v>
      </c>
      <c r="C75" s="13" t="s">
        <v>154</v>
      </c>
      <c r="E75" s="14">
        <v>0</v>
      </c>
      <c r="F75" s="14"/>
      <c r="G75" s="14">
        <v>1749818</v>
      </c>
      <c r="H75" s="14"/>
      <c r="I75" s="14">
        <v>1415</v>
      </c>
      <c r="J75" s="14"/>
      <c r="K75" s="14">
        <f>1214297+3790280</f>
        <v>5004577</v>
      </c>
      <c r="L75" s="14"/>
      <c r="M75" s="14">
        <v>0</v>
      </c>
      <c r="N75" s="14"/>
      <c r="O75" s="14">
        <v>0</v>
      </c>
      <c r="P75" s="14"/>
      <c r="Q75" s="14">
        <v>0</v>
      </c>
      <c r="R75" s="14"/>
      <c r="S75" s="14">
        <v>75927</v>
      </c>
      <c r="T75" s="14"/>
      <c r="U75" s="21">
        <f t="shared" si="6"/>
        <v>6831737</v>
      </c>
      <c r="V75" s="14"/>
      <c r="W75" s="14">
        <v>0</v>
      </c>
      <c r="X75" s="14"/>
      <c r="Y75" s="14">
        <v>0</v>
      </c>
      <c r="Z75" s="14"/>
      <c r="AA75" s="14">
        <v>0</v>
      </c>
      <c r="AB75" s="14"/>
      <c r="AC75" s="14">
        <v>0</v>
      </c>
      <c r="AD75" s="13" t="s">
        <v>293</v>
      </c>
      <c r="AF75" s="13" t="s">
        <v>154</v>
      </c>
      <c r="AG75" s="14"/>
      <c r="AH75" s="14">
        <v>0</v>
      </c>
      <c r="AI75" s="14"/>
      <c r="AJ75" s="14">
        <v>0</v>
      </c>
      <c r="AK75" s="14"/>
      <c r="AL75" s="14"/>
      <c r="AM75" s="14"/>
      <c r="AN75" s="14">
        <v>0</v>
      </c>
      <c r="AO75" s="14"/>
      <c r="AP75" s="14">
        <v>0</v>
      </c>
      <c r="AQ75" s="14"/>
      <c r="AR75" s="21">
        <f t="shared" si="7"/>
        <v>0</v>
      </c>
      <c r="AS75" s="14"/>
      <c r="AT75" s="21">
        <f t="shared" si="8"/>
        <v>6831737</v>
      </c>
    </row>
    <row r="76" spans="1:46" s="13" customFormat="1">
      <c r="A76" s="3" t="s">
        <v>155</v>
      </c>
      <c r="C76" s="13" t="s">
        <v>156</v>
      </c>
      <c r="E76" s="14">
        <v>0</v>
      </c>
      <c r="F76" s="14"/>
      <c r="G76" s="14">
        <v>2076001</v>
      </c>
      <c r="H76" s="14"/>
      <c r="I76" s="14">
        <v>7383</v>
      </c>
      <c r="J76" s="14"/>
      <c r="K76" s="14">
        <f>13780900+609103+319122</f>
        <v>14709125</v>
      </c>
      <c r="L76" s="14"/>
      <c r="M76" s="14">
        <v>0</v>
      </c>
      <c r="N76" s="14"/>
      <c r="O76" s="14">
        <v>0</v>
      </c>
      <c r="P76" s="14"/>
      <c r="Q76" s="14">
        <v>17700</v>
      </c>
      <c r="R76" s="14"/>
      <c r="S76" s="14">
        <v>50390</v>
      </c>
      <c r="T76" s="14"/>
      <c r="U76" s="21">
        <f t="shared" si="6"/>
        <v>16860599</v>
      </c>
      <c r="V76" s="14"/>
      <c r="W76" s="14">
        <v>15000</v>
      </c>
      <c r="X76" s="14"/>
      <c r="Y76" s="14">
        <v>0</v>
      </c>
      <c r="Z76" s="14"/>
      <c r="AA76" s="14">
        <v>0</v>
      </c>
      <c r="AB76" s="14"/>
      <c r="AC76" s="14">
        <v>0</v>
      </c>
      <c r="AD76" s="3" t="s">
        <v>155</v>
      </c>
      <c r="AF76" s="13" t="s">
        <v>156</v>
      </c>
      <c r="AG76" s="14"/>
      <c r="AH76" s="14">
        <v>0</v>
      </c>
      <c r="AI76" s="14"/>
      <c r="AJ76" s="14">
        <v>0</v>
      </c>
      <c r="AK76" s="14"/>
      <c r="AL76" s="14">
        <v>0</v>
      </c>
      <c r="AM76" s="14"/>
      <c r="AN76" s="14">
        <v>0</v>
      </c>
      <c r="AO76" s="14"/>
      <c r="AP76" s="14">
        <v>0</v>
      </c>
      <c r="AQ76" s="14"/>
      <c r="AR76" s="21">
        <f t="shared" si="7"/>
        <v>15000</v>
      </c>
      <c r="AS76" s="14"/>
      <c r="AT76" s="21">
        <f t="shared" si="8"/>
        <v>16875599</v>
      </c>
    </row>
    <row r="77" spans="1:46" s="13" customFormat="1" hidden="1">
      <c r="A77" s="13" t="s">
        <v>281</v>
      </c>
      <c r="C77" s="13" t="s">
        <v>157</v>
      </c>
      <c r="E77" s="14">
        <v>0</v>
      </c>
      <c r="F77" s="14"/>
      <c r="G77" s="14">
        <v>0</v>
      </c>
      <c r="H77" s="14"/>
      <c r="I77" s="14">
        <v>0</v>
      </c>
      <c r="J77" s="14"/>
      <c r="K77" s="14">
        <v>0</v>
      </c>
      <c r="L77" s="14"/>
      <c r="M77" s="14">
        <v>0</v>
      </c>
      <c r="N77" s="14"/>
      <c r="O77" s="14">
        <v>0</v>
      </c>
      <c r="P77" s="14"/>
      <c r="Q77" s="14">
        <v>0</v>
      </c>
      <c r="R77" s="14"/>
      <c r="S77" s="14">
        <v>0</v>
      </c>
      <c r="T77" s="14"/>
      <c r="U77" s="21">
        <f t="shared" si="6"/>
        <v>0</v>
      </c>
      <c r="V77" s="14"/>
      <c r="W77" s="14">
        <v>0</v>
      </c>
      <c r="X77" s="14"/>
      <c r="Y77" s="14">
        <v>0</v>
      </c>
      <c r="Z77" s="14"/>
      <c r="AA77" s="14">
        <v>0</v>
      </c>
      <c r="AB77" s="14"/>
      <c r="AC77" s="14"/>
      <c r="AD77" s="13" t="s">
        <v>281</v>
      </c>
      <c r="AF77" s="13" t="s">
        <v>157</v>
      </c>
      <c r="AG77" s="14"/>
      <c r="AH77" s="14">
        <v>0</v>
      </c>
      <c r="AI77" s="14"/>
      <c r="AJ77" s="14">
        <v>0</v>
      </c>
      <c r="AK77" s="14"/>
      <c r="AL77" s="14"/>
      <c r="AM77" s="14"/>
      <c r="AN77" s="14">
        <v>0</v>
      </c>
      <c r="AO77" s="14"/>
      <c r="AP77" s="14">
        <v>0</v>
      </c>
      <c r="AQ77" s="14"/>
      <c r="AR77" s="21">
        <f t="shared" si="7"/>
        <v>0</v>
      </c>
      <c r="AS77" s="14"/>
      <c r="AT77" s="21">
        <f t="shared" si="8"/>
        <v>0</v>
      </c>
    </row>
    <row r="78" spans="1:46" s="13" customFormat="1">
      <c r="A78" s="13" t="s">
        <v>310</v>
      </c>
      <c r="C78" s="13" t="s">
        <v>158</v>
      </c>
      <c r="E78" s="14">
        <v>0</v>
      </c>
      <c r="F78" s="14"/>
      <c r="G78" s="14">
        <f>1275464+840226</f>
        <v>2115690</v>
      </c>
      <c r="H78" s="14"/>
      <c r="I78" s="14">
        <v>501</v>
      </c>
      <c r="J78" s="14"/>
      <c r="K78" s="14">
        <f>7162819+1317796</f>
        <v>8480615</v>
      </c>
      <c r="L78" s="14"/>
      <c r="M78" s="14">
        <v>1090</v>
      </c>
      <c r="N78" s="14"/>
      <c r="O78" s="14">
        <v>0</v>
      </c>
      <c r="P78" s="14"/>
      <c r="Q78" s="14">
        <v>1572</v>
      </c>
      <c r="R78" s="14"/>
      <c r="S78" s="14">
        <v>853</v>
      </c>
      <c r="T78" s="14"/>
      <c r="U78" s="21">
        <f t="shared" si="6"/>
        <v>10600321</v>
      </c>
      <c r="V78" s="14"/>
      <c r="W78" s="14">
        <v>0</v>
      </c>
      <c r="X78" s="14"/>
      <c r="Y78" s="14">
        <v>0</v>
      </c>
      <c r="Z78" s="14"/>
      <c r="AA78" s="14">
        <v>0</v>
      </c>
      <c r="AB78" s="14"/>
      <c r="AC78" s="14">
        <v>0</v>
      </c>
      <c r="AD78" s="13" t="s">
        <v>310</v>
      </c>
      <c r="AF78" s="13" t="s">
        <v>158</v>
      </c>
      <c r="AG78" s="14"/>
      <c r="AH78" s="14">
        <v>0</v>
      </c>
      <c r="AI78" s="14"/>
      <c r="AJ78" s="14">
        <v>0</v>
      </c>
      <c r="AK78" s="14"/>
      <c r="AL78" s="14"/>
      <c r="AM78" s="14"/>
      <c r="AN78" s="14">
        <v>0</v>
      </c>
      <c r="AO78" s="14"/>
      <c r="AP78" s="14">
        <v>0</v>
      </c>
      <c r="AQ78" s="14"/>
      <c r="AR78" s="21">
        <f t="shared" si="7"/>
        <v>0</v>
      </c>
      <c r="AS78" s="14"/>
      <c r="AT78" s="21">
        <f t="shared" si="8"/>
        <v>10600321</v>
      </c>
    </row>
    <row r="79" spans="1:46" s="13" customFormat="1">
      <c r="A79" s="3" t="s">
        <v>312</v>
      </c>
      <c r="C79" s="13" t="s">
        <v>159</v>
      </c>
      <c r="E79" s="14">
        <v>0</v>
      </c>
      <c r="F79" s="14"/>
      <c r="G79" s="14">
        <v>17840638</v>
      </c>
      <c r="H79" s="14"/>
      <c r="I79" s="14">
        <v>58123</v>
      </c>
      <c r="J79" s="14"/>
      <c r="K79" s="14">
        <f>36455863+531759+11187785</f>
        <v>48175407</v>
      </c>
      <c r="L79" s="14"/>
      <c r="M79" s="14">
        <v>725</v>
      </c>
      <c r="N79" s="14"/>
      <c r="O79" s="14">
        <v>0</v>
      </c>
      <c r="P79" s="14"/>
      <c r="Q79" s="14">
        <v>77781</v>
      </c>
      <c r="R79" s="14"/>
      <c r="S79" s="14">
        <v>693074</v>
      </c>
      <c r="T79" s="14"/>
      <c r="U79" s="21">
        <f t="shared" si="6"/>
        <v>66845748</v>
      </c>
      <c r="V79" s="14"/>
      <c r="W79" s="14">
        <v>0</v>
      </c>
      <c r="X79" s="14"/>
      <c r="Y79" s="14">
        <v>0</v>
      </c>
      <c r="Z79" s="14"/>
      <c r="AA79" s="14">
        <v>0</v>
      </c>
      <c r="AB79" s="14"/>
      <c r="AC79" s="14">
        <v>0</v>
      </c>
      <c r="AD79" s="3" t="s">
        <v>312</v>
      </c>
      <c r="AF79" s="13" t="s">
        <v>159</v>
      </c>
      <c r="AG79" s="14"/>
      <c r="AH79" s="14">
        <v>0</v>
      </c>
      <c r="AI79" s="14"/>
      <c r="AJ79" s="14">
        <v>0</v>
      </c>
      <c r="AK79" s="14"/>
      <c r="AL79" s="14"/>
      <c r="AM79" s="14"/>
      <c r="AN79" s="14">
        <v>0</v>
      </c>
      <c r="AO79" s="14"/>
      <c r="AP79" s="14">
        <v>0</v>
      </c>
      <c r="AQ79" s="14"/>
      <c r="AR79" s="21">
        <f t="shared" si="7"/>
        <v>0</v>
      </c>
      <c r="AS79" s="14"/>
      <c r="AT79" s="21">
        <f t="shared" si="8"/>
        <v>66845748</v>
      </c>
    </row>
    <row r="80" spans="1:46" s="13" customFormat="1" hidden="1">
      <c r="A80" s="3" t="s">
        <v>315</v>
      </c>
      <c r="C80" s="13" t="s">
        <v>160</v>
      </c>
      <c r="E80" s="14">
        <v>0</v>
      </c>
      <c r="F80" s="14"/>
      <c r="G80" s="14">
        <v>0</v>
      </c>
      <c r="H80" s="14"/>
      <c r="I80" s="14">
        <v>0</v>
      </c>
      <c r="J80" s="14"/>
      <c r="K80" s="14">
        <v>0</v>
      </c>
      <c r="L80" s="14"/>
      <c r="M80" s="14">
        <v>0</v>
      </c>
      <c r="N80" s="14"/>
      <c r="O80" s="14">
        <v>0</v>
      </c>
      <c r="P80" s="14"/>
      <c r="Q80" s="14">
        <v>0</v>
      </c>
      <c r="R80" s="14"/>
      <c r="S80" s="14">
        <v>0</v>
      </c>
      <c r="T80" s="14"/>
      <c r="U80" s="21">
        <f t="shared" si="6"/>
        <v>0</v>
      </c>
      <c r="V80" s="14"/>
      <c r="W80" s="14">
        <v>0</v>
      </c>
      <c r="X80" s="14"/>
      <c r="Y80" s="14">
        <v>0</v>
      </c>
      <c r="Z80" s="14"/>
      <c r="AA80" s="14">
        <v>0</v>
      </c>
      <c r="AB80" s="14"/>
      <c r="AC80" s="14"/>
      <c r="AD80" s="3" t="s">
        <v>315</v>
      </c>
      <c r="AF80" s="13" t="s">
        <v>160</v>
      </c>
      <c r="AG80" s="14"/>
      <c r="AH80" s="14">
        <v>0</v>
      </c>
      <c r="AI80" s="14"/>
      <c r="AJ80" s="14">
        <v>0</v>
      </c>
      <c r="AK80" s="14"/>
      <c r="AL80" s="14"/>
      <c r="AM80" s="14"/>
      <c r="AN80" s="14">
        <v>0</v>
      </c>
      <c r="AO80" s="14"/>
      <c r="AP80" s="14">
        <v>0</v>
      </c>
      <c r="AQ80" s="14"/>
      <c r="AR80" s="21">
        <f t="shared" si="7"/>
        <v>0</v>
      </c>
      <c r="AS80" s="14"/>
      <c r="AT80" s="21">
        <f t="shared" si="8"/>
        <v>0</v>
      </c>
    </row>
    <row r="81" spans="1:46" s="13" customFormat="1" hidden="1">
      <c r="A81" s="3" t="s">
        <v>311</v>
      </c>
      <c r="C81" s="13" t="s">
        <v>161</v>
      </c>
      <c r="E81" s="14">
        <v>0</v>
      </c>
      <c r="F81" s="14"/>
      <c r="G81" s="14">
        <v>0</v>
      </c>
      <c r="H81" s="14"/>
      <c r="I81" s="14">
        <v>0</v>
      </c>
      <c r="J81" s="14"/>
      <c r="K81" s="14">
        <v>0</v>
      </c>
      <c r="L81" s="14"/>
      <c r="M81" s="14">
        <v>0</v>
      </c>
      <c r="N81" s="14"/>
      <c r="O81" s="14">
        <v>0</v>
      </c>
      <c r="P81" s="14"/>
      <c r="Q81" s="14">
        <v>0</v>
      </c>
      <c r="R81" s="14"/>
      <c r="S81" s="14">
        <v>0</v>
      </c>
      <c r="T81" s="14"/>
      <c r="U81" s="21">
        <f t="shared" si="6"/>
        <v>0</v>
      </c>
      <c r="V81" s="14"/>
      <c r="W81" s="14">
        <v>0</v>
      </c>
      <c r="X81" s="14"/>
      <c r="Y81" s="14">
        <v>0</v>
      </c>
      <c r="Z81" s="14"/>
      <c r="AA81" s="14">
        <v>0</v>
      </c>
      <c r="AB81" s="14"/>
      <c r="AC81" s="14"/>
      <c r="AD81" s="3" t="s">
        <v>311</v>
      </c>
      <c r="AF81" s="13" t="s">
        <v>161</v>
      </c>
      <c r="AG81" s="14"/>
      <c r="AH81" s="14">
        <v>0</v>
      </c>
      <c r="AI81" s="14"/>
      <c r="AJ81" s="14">
        <v>0</v>
      </c>
      <c r="AK81" s="14"/>
      <c r="AL81" s="14"/>
      <c r="AM81" s="14"/>
      <c r="AN81" s="14">
        <v>0</v>
      </c>
      <c r="AO81" s="14"/>
      <c r="AP81" s="14">
        <v>0</v>
      </c>
      <c r="AQ81" s="14"/>
      <c r="AR81" s="21">
        <f t="shared" si="7"/>
        <v>0</v>
      </c>
      <c r="AS81" s="14"/>
      <c r="AT81" s="21">
        <f t="shared" si="8"/>
        <v>0</v>
      </c>
    </row>
    <row r="82" spans="1:46" s="13" customFormat="1">
      <c r="A82" s="3" t="s">
        <v>309</v>
      </c>
      <c r="C82" s="13" t="s">
        <v>200</v>
      </c>
      <c r="E82" s="14">
        <v>0</v>
      </c>
      <c r="F82" s="14"/>
      <c r="G82" s="14">
        <f>1641381+841410</f>
        <v>2482791</v>
      </c>
      <c r="H82" s="14"/>
      <c r="I82" s="14">
        <v>2635</v>
      </c>
      <c r="J82" s="14"/>
      <c r="K82" s="14">
        <f>1885727+5209786</f>
        <v>7095513</v>
      </c>
      <c r="L82" s="14"/>
      <c r="M82" s="14">
        <v>0</v>
      </c>
      <c r="N82" s="14"/>
      <c r="O82" s="14">
        <v>0</v>
      </c>
      <c r="P82" s="14"/>
      <c r="Q82" s="14">
        <v>2864</v>
      </c>
      <c r="R82" s="14"/>
      <c r="S82" s="14">
        <v>0</v>
      </c>
      <c r="T82" s="14"/>
      <c r="U82" s="21">
        <f t="shared" si="6"/>
        <v>9583803</v>
      </c>
      <c r="V82" s="14"/>
      <c r="W82" s="14">
        <v>0</v>
      </c>
      <c r="X82" s="14"/>
      <c r="Y82" s="14">
        <v>0</v>
      </c>
      <c r="Z82" s="14"/>
      <c r="AA82" s="14">
        <v>0</v>
      </c>
      <c r="AB82" s="14"/>
      <c r="AC82" s="14">
        <v>0</v>
      </c>
      <c r="AD82" s="3" t="s">
        <v>309</v>
      </c>
      <c r="AF82" s="13" t="s">
        <v>200</v>
      </c>
      <c r="AG82" s="14"/>
      <c r="AH82" s="14">
        <v>0</v>
      </c>
      <c r="AI82" s="14"/>
      <c r="AJ82" s="14">
        <v>0</v>
      </c>
      <c r="AK82" s="14"/>
      <c r="AL82" s="14">
        <v>0</v>
      </c>
      <c r="AM82" s="14"/>
      <c r="AN82" s="14">
        <v>0</v>
      </c>
      <c r="AO82" s="14"/>
      <c r="AP82" s="14">
        <v>0</v>
      </c>
      <c r="AQ82" s="14"/>
      <c r="AR82" s="21">
        <f t="shared" si="7"/>
        <v>0</v>
      </c>
      <c r="AS82" s="14"/>
      <c r="AT82" s="21">
        <f t="shared" si="8"/>
        <v>9583803</v>
      </c>
    </row>
    <row r="83" spans="1:46" s="13" customFormat="1">
      <c r="A83" s="3" t="s">
        <v>318</v>
      </c>
      <c r="C83" s="13" t="s">
        <v>164</v>
      </c>
      <c r="E83" s="14">
        <v>0</v>
      </c>
      <c r="F83" s="14"/>
      <c r="G83" s="14">
        <f>610312+8453642+6685974</f>
        <v>15749928</v>
      </c>
      <c r="H83" s="14"/>
      <c r="I83" s="14">
        <v>22277</v>
      </c>
      <c r="J83" s="14"/>
      <c r="K83" s="14">
        <f>11987958+38436588+135857</f>
        <v>50560403</v>
      </c>
      <c r="L83" s="14"/>
      <c r="M83" s="14">
        <v>0</v>
      </c>
      <c r="N83" s="14"/>
      <c r="O83" s="14">
        <v>0</v>
      </c>
      <c r="P83" s="14"/>
      <c r="Q83" s="14">
        <v>6462</v>
      </c>
      <c r="R83" s="14"/>
      <c r="S83" s="14">
        <v>33946</v>
      </c>
      <c r="T83" s="14"/>
      <c r="U83" s="21">
        <f t="shared" si="6"/>
        <v>66373016</v>
      </c>
      <c r="V83" s="14"/>
      <c r="W83" s="14">
        <v>138449</v>
      </c>
      <c r="X83" s="14"/>
      <c r="Y83" s="14">
        <v>0</v>
      </c>
      <c r="Z83" s="14"/>
      <c r="AA83" s="14">
        <v>0</v>
      </c>
      <c r="AB83" s="14"/>
      <c r="AC83" s="14">
        <v>0</v>
      </c>
      <c r="AD83" s="3" t="s">
        <v>318</v>
      </c>
      <c r="AF83" s="13" t="s">
        <v>164</v>
      </c>
      <c r="AG83" s="14"/>
      <c r="AH83" s="14">
        <v>0</v>
      </c>
      <c r="AI83" s="14"/>
      <c r="AJ83" s="14">
        <v>0</v>
      </c>
      <c r="AK83" s="14"/>
      <c r="AL83" s="14">
        <v>0</v>
      </c>
      <c r="AM83" s="14"/>
      <c r="AN83" s="14">
        <v>0</v>
      </c>
      <c r="AO83" s="14"/>
      <c r="AP83" s="14">
        <v>0</v>
      </c>
      <c r="AQ83" s="14"/>
      <c r="AR83" s="21">
        <f t="shared" si="7"/>
        <v>138449</v>
      </c>
      <c r="AS83" s="14"/>
      <c r="AT83" s="21">
        <f t="shared" si="8"/>
        <v>66511465</v>
      </c>
    </row>
    <row r="84" spans="1:46" s="13" customFormat="1" hidden="1">
      <c r="A84" s="13" t="s">
        <v>279</v>
      </c>
      <c r="C84" s="13" t="s">
        <v>162</v>
      </c>
      <c r="E84" s="14">
        <v>0</v>
      </c>
      <c r="F84" s="14"/>
      <c r="G84" s="14">
        <v>0</v>
      </c>
      <c r="H84" s="14"/>
      <c r="I84" s="14">
        <v>0</v>
      </c>
      <c r="J84" s="14"/>
      <c r="K84" s="14">
        <v>0</v>
      </c>
      <c r="L84" s="14"/>
      <c r="M84" s="14">
        <v>0</v>
      </c>
      <c r="N84" s="14"/>
      <c r="O84" s="14">
        <v>0</v>
      </c>
      <c r="P84" s="14"/>
      <c r="Q84" s="14">
        <v>0</v>
      </c>
      <c r="R84" s="14"/>
      <c r="S84" s="14">
        <v>0</v>
      </c>
      <c r="T84" s="14"/>
      <c r="U84" s="21">
        <f t="shared" si="6"/>
        <v>0</v>
      </c>
      <c r="V84" s="14"/>
      <c r="W84" s="14">
        <v>0</v>
      </c>
      <c r="X84" s="14"/>
      <c r="Y84" s="14">
        <v>0</v>
      </c>
      <c r="Z84" s="14"/>
      <c r="AA84" s="14">
        <v>0</v>
      </c>
      <c r="AB84" s="14"/>
      <c r="AC84" s="14"/>
      <c r="AD84" s="13" t="s">
        <v>279</v>
      </c>
      <c r="AF84" s="13" t="s">
        <v>162</v>
      </c>
      <c r="AG84" s="14"/>
      <c r="AH84" s="14">
        <v>0</v>
      </c>
      <c r="AI84" s="14"/>
      <c r="AJ84" s="14">
        <v>0</v>
      </c>
      <c r="AK84" s="14"/>
      <c r="AL84" s="14"/>
      <c r="AM84" s="14"/>
      <c r="AN84" s="14">
        <v>0</v>
      </c>
      <c r="AO84" s="14"/>
      <c r="AP84" s="14">
        <v>0</v>
      </c>
      <c r="AQ84" s="14"/>
      <c r="AR84" s="21">
        <f t="shared" si="7"/>
        <v>0</v>
      </c>
      <c r="AS84" s="14"/>
      <c r="AT84" s="21">
        <f t="shared" si="8"/>
        <v>0</v>
      </c>
    </row>
    <row r="85" spans="1:46" s="13" customFormat="1">
      <c r="A85" s="3" t="s">
        <v>320</v>
      </c>
      <c r="C85" s="13" t="s">
        <v>163</v>
      </c>
      <c r="E85" s="14">
        <v>0</v>
      </c>
      <c r="F85" s="14"/>
      <c r="G85" s="14">
        <v>1245354</v>
      </c>
      <c r="H85" s="14"/>
      <c r="I85" s="14">
        <v>2156</v>
      </c>
      <c r="J85" s="14"/>
      <c r="K85" s="14">
        <f>6532788+884167</f>
        <v>7416955</v>
      </c>
      <c r="L85" s="14"/>
      <c r="M85" s="14">
        <v>0</v>
      </c>
      <c r="N85" s="14"/>
      <c r="O85" s="14">
        <v>0</v>
      </c>
      <c r="P85" s="14"/>
      <c r="Q85" s="14">
        <v>0</v>
      </c>
      <c r="R85" s="14"/>
      <c r="S85" s="14">
        <v>14147</v>
      </c>
      <c r="T85" s="14"/>
      <c r="U85" s="21">
        <f t="shared" si="6"/>
        <v>8678612</v>
      </c>
      <c r="V85" s="14"/>
      <c r="W85" s="14">
        <v>400000</v>
      </c>
      <c r="X85" s="14"/>
      <c r="Y85" s="14">
        <v>0</v>
      </c>
      <c r="Z85" s="14"/>
      <c r="AA85" s="14">
        <v>0</v>
      </c>
      <c r="AB85" s="14"/>
      <c r="AC85" s="14">
        <v>0</v>
      </c>
      <c r="AD85" s="3" t="s">
        <v>320</v>
      </c>
      <c r="AF85" s="13" t="s">
        <v>163</v>
      </c>
      <c r="AG85" s="14"/>
      <c r="AH85" s="14">
        <v>0</v>
      </c>
      <c r="AI85" s="14"/>
      <c r="AJ85" s="14">
        <v>0</v>
      </c>
      <c r="AK85" s="14"/>
      <c r="AL85" s="14">
        <v>0</v>
      </c>
      <c r="AM85" s="14"/>
      <c r="AN85" s="14">
        <v>0</v>
      </c>
      <c r="AO85" s="14"/>
      <c r="AP85" s="14">
        <v>0</v>
      </c>
      <c r="AQ85" s="14"/>
      <c r="AR85" s="21">
        <f t="shared" si="7"/>
        <v>400000</v>
      </c>
      <c r="AS85" s="14"/>
      <c r="AT85" s="21">
        <f t="shared" si="8"/>
        <v>9078612</v>
      </c>
    </row>
    <row r="86" spans="1:46" s="13" customFormat="1">
      <c r="A86" s="3" t="s">
        <v>166</v>
      </c>
      <c r="C86" s="13" t="s">
        <v>167</v>
      </c>
      <c r="E86" s="14">
        <v>0</v>
      </c>
      <c r="F86" s="14"/>
      <c r="G86" s="14">
        <v>2787071</v>
      </c>
      <c r="H86" s="14"/>
      <c r="I86" s="14">
        <v>24662</v>
      </c>
      <c r="J86" s="14"/>
      <c r="K86" s="14">
        <f>111141+1264020</f>
        <v>1375161</v>
      </c>
      <c r="L86" s="14"/>
      <c r="M86" s="14">
        <v>0</v>
      </c>
      <c r="N86" s="14"/>
      <c r="O86" s="14">
        <v>0</v>
      </c>
      <c r="P86" s="14"/>
      <c r="Q86" s="14">
        <v>0</v>
      </c>
      <c r="R86" s="14"/>
      <c r="S86" s="14">
        <v>7279</v>
      </c>
      <c r="T86" s="14"/>
      <c r="U86" s="21">
        <f t="shared" si="6"/>
        <v>4194173</v>
      </c>
      <c r="V86" s="14"/>
      <c r="W86" s="14">
        <v>0</v>
      </c>
      <c r="X86" s="14"/>
      <c r="Y86" s="14">
        <v>0</v>
      </c>
      <c r="Z86" s="14"/>
      <c r="AA86" s="14">
        <v>0</v>
      </c>
      <c r="AB86" s="14"/>
      <c r="AC86" s="14">
        <v>0</v>
      </c>
      <c r="AD86" s="3" t="s">
        <v>166</v>
      </c>
      <c r="AF86" s="13" t="s">
        <v>167</v>
      </c>
      <c r="AG86" s="14"/>
      <c r="AH86" s="14">
        <v>0</v>
      </c>
      <c r="AI86" s="14"/>
      <c r="AJ86" s="14">
        <v>0</v>
      </c>
      <c r="AK86" s="14"/>
      <c r="AL86" s="14">
        <v>0</v>
      </c>
      <c r="AM86" s="14"/>
      <c r="AN86" s="14">
        <v>0</v>
      </c>
      <c r="AO86" s="14"/>
      <c r="AP86" s="14">
        <v>0</v>
      </c>
      <c r="AQ86" s="14"/>
      <c r="AR86" s="21">
        <f t="shared" si="7"/>
        <v>0</v>
      </c>
      <c r="AS86" s="14"/>
      <c r="AT86" s="21">
        <f t="shared" si="8"/>
        <v>4194173</v>
      </c>
    </row>
    <row r="87" spans="1:46" s="13" customFormat="1">
      <c r="A87" s="61" t="s">
        <v>319</v>
      </c>
      <c r="C87" s="13" t="s">
        <v>168</v>
      </c>
      <c r="E87" s="14">
        <v>0</v>
      </c>
      <c r="F87" s="14"/>
      <c r="G87" s="14">
        <v>1377864</v>
      </c>
      <c r="H87" s="14"/>
      <c r="I87" s="14">
        <v>6447</v>
      </c>
      <c r="J87" s="14"/>
      <c r="K87" s="14">
        <f>7932582+2310956</f>
        <v>10243538</v>
      </c>
      <c r="L87" s="14"/>
      <c r="M87" s="14">
        <v>0</v>
      </c>
      <c r="N87" s="14"/>
      <c r="O87" s="14">
        <v>0</v>
      </c>
      <c r="P87" s="14"/>
      <c r="Q87" s="14">
        <v>0</v>
      </c>
      <c r="R87" s="14"/>
      <c r="S87" s="14">
        <v>44178</v>
      </c>
      <c r="T87" s="14"/>
      <c r="U87" s="21">
        <f t="shared" si="6"/>
        <v>11672027</v>
      </c>
      <c r="V87" s="14"/>
      <c r="W87" s="14">
        <v>0</v>
      </c>
      <c r="X87" s="14"/>
      <c r="Y87" s="14">
        <v>0</v>
      </c>
      <c r="Z87" s="14"/>
      <c r="AA87" s="14">
        <v>0</v>
      </c>
      <c r="AB87" s="14"/>
      <c r="AC87" s="14">
        <v>0</v>
      </c>
      <c r="AD87" s="61" t="s">
        <v>319</v>
      </c>
      <c r="AF87" s="13" t="s">
        <v>168</v>
      </c>
      <c r="AG87" s="14"/>
      <c r="AH87" s="14">
        <v>0</v>
      </c>
      <c r="AI87" s="14"/>
      <c r="AJ87" s="14">
        <v>0</v>
      </c>
      <c r="AK87" s="14"/>
      <c r="AL87" s="14">
        <v>0</v>
      </c>
      <c r="AM87" s="14"/>
      <c r="AN87" s="14">
        <v>0</v>
      </c>
      <c r="AO87" s="14"/>
      <c r="AP87" s="14">
        <v>0</v>
      </c>
      <c r="AQ87" s="14"/>
      <c r="AR87" s="21">
        <f t="shared" si="7"/>
        <v>0</v>
      </c>
      <c r="AS87" s="14"/>
      <c r="AT87" s="21">
        <f t="shared" si="8"/>
        <v>11672027</v>
      </c>
    </row>
    <row r="88" spans="1:46" s="13" customFormat="1">
      <c r="A88" s="13" t="s">
        <v>296</v>
      </c>
      <c r="C88" s="13" t="s">
        <v>169</v>
      </c>
      <c r="E88" s="14">
        <v>0</v>
      </c>
      <c r="F88" s="14"/>
      <c r="G88" s="14">
        <v>2286374</v>
      </c>
      <c r="H88" s="14"/>
      <c r="I88" s="14">
        <v>0</v>
      </c>
      <c r="J88" s="14"/>
      <c r="K88" s="14">
        <v>9294548</v>
      </c>
      <c r="L88" s="14"/>
      <c r="M88" s="14">
        <v>0</v>
      </c>
      <c r="N88" s="14"/>
      <c r="O88" s="14">
        <v>0</v>
      </c>
      <c r="P88" s="14"/>
      <c r="Q88" s="14">
        <v>0</v>
      </c>
      <c r="R88" s="14"/>
      <c r="S88" s="14">
        <v>177486</v>
      </c>
      <c r="T88" s="14"/>
      <c r="U88" s="21">
        <f t="shared" si="6"/>
        <v>11758408</v>
      </c>
      <c r="V88" s="14"/>
      <c r="W88" s="14">
        <v>0</v>
      </c>
      <c r="X88" s="14"/>
      <c r="Y88" s="14">
        <v>0</v>
      </c>
      <c r="Z88" s="14"/>
      <c r="AA88" s="14">
        <v>0</v>
      </c>
      <c r="AB88" s="14"/>
      <c r="AC88" s="14">
        <v>0</v>
      </c>
      <c r="AD88" s="13" t="s">
        <v>296</v>
      </c>
      <c r="AF88" s="13" t="s">
        <v>169</v>
      </c>
      <c r="AG88" s="14"/>
      <c r="AH88" s="14">
        <v>0</v>
      </c>
      <c r="AI88" s="14"/>
      <c r="AJ88" s="14">
        <v>0</v>
      </c>
      <c r="AK88" s="14"/>
      <c r="AL88" s="14">
        <v>0</v>
      </c>
      <c r="AM88" s="14"/>
      <c r="AN88" s="14">
        <v>0</v>
      </c>
      <c r="AO88" s="14"/>
      <c r="AP88" s="14">
        <v>0</v>
      </c>
      <c r="AQ88" s="14"/>
      <c r="AR88" s="21">
        <f t="shared" si="7"/>
        <v>0</v>
      </c>
      <c r="AS88" s="14"/>
      <c r="AT88" s="21">
        <f t="shared" si="8"/>
        <v>11758408</v>
      </c>
    </row>
    <row r="89" spans="1:46" s="13" customFormat="1">
      <c r="A89" s="13" t="s">
        <v>297</v>
      </c>
      <c r="C89" s="13" t="s">
        <v>170</v>
      </c>
      <c r="E89" s="14">
        <v>0</v>
      </c>
      <c r="F89" s="14"/>
      <c r="G89" s="14">
        <v>11753859</v>
      </c>
      <c r="H89" s="14"/>
      <c r="I89" s="14">
        <v>42561</v>
      </c>
      <c r="J89" s="14"/>
      <c r="K89" s="14">
        <f>1807883+875667+26074411</f>
        <v>28757961</v>
      </c>
      <c r="L89" s="14"/>
      <c r="M89" s="14">
        <v>0</v>
      </c>
      <c r="N89" s="14"/>
      <c r="O89" s="14">
        <v>0</v>
      </c>
      <c r="P89" s="14"/>
      <c r="Q89" s="14">
        <v>0</v>
      </c>
      <c r="R89" s="14"/>
      <c r="S89" s="14">
        <v>176292</v>
      </c>
      <c r="T89" s="14"/>
      <c r="U89" s="21">
        <f t="shared" si="6"/>
        <v>40730673</v>
      </c>
      <c r="V89" s="14"/>
      <c r="W89" s="14">
        <v>0</v>
      </c>
      <c r="X89" s="14"/>
      <c r="Y89" s="14">
        <v>0</v>
      </c>
      <c r="Z89" s="14"/>
      <c r="AA89" s="14">
        <v>0</v>
      </c>
      <c r="AB89" s="14"/>
      <c r="AC89" s="14">
        <v>0</v>
      </c>
      <c r="AD89" s="13" t="s">
        <v>297</v>
      </c>
      <c r="AF89" s="13" t="s">
        <v>170</v>
      </c>
      <c r="AG89" s="14"/>
      <c r="AH89" s="14">
        <v>0</v>
      </c>
      <c r="AI89" s="14"/>
      <c r="AJ89" s="14">
        <v>0</v>
      </c>
      <c r="AK89" s="14"/>
      <c r="AL89" s="14">
        <v>0</v>
      </c>
      <c r="AM89" s="14"/>
      <c r="AN89" s="14">
        <v>0</v>
      </c>
      <c r="AO89" s="14"/>
      <c r="AP89" s="14">
        <v>0</v>
      </c>
      <c r="AQ89" s="14"/>
      <c r="AR89" s="21">
        <f t="shared" si="7"/>
        <v>0</v>
      </c>
      <c r="AS89" s="14"/>
      <c r="AT89" s="21">
        <f t="shared" si="8"/>
        <v>40730673</v>
      </c>
    </row>
    <row r="90" spans="1:46" s="13" customFormat="1">
      <c r="A90" s="13" t="s">
        <v>298</v>
      </c>
      <c r="C90" s="13" t="s">
        <v>171</v>
      </c>
      <c r="E90" s="14">
        <v>0</v>
      </c>
      <c r="F90" s="14"/>
      <c r="G90" s="14">
        <v>878938</v>
      </c>
      <c r="H90" s="14"/>
      <c r="I90" s="14">
        <v>4159</v>
      </c>
      <c r="J90" s="14"/>
      <c r="K90" s="14">
        <f>2239598+2519637</f>
        <v>4759235</v>
      </c>
      <c r="L90" s="14"/>
      <c r="M90" s="14">
        <v>0</v>
      </c>
      <c r="N90" s="14"/>
      <c r="O90" s="14">
        <v>0</v>
      </c>
      <c r="P90" s="14"/>
      <c r="Q90" s="14">
        <v>0</v>
      </c>
      <c r="R90" s="14"/>
      <c r="S90" s="14">
        <v>60111</v>
      </c>
      <c r="T90" s="14"/>
      <c r="U90" s="21">
        <f t="shared" si="6"/>
        <v>5702443</v>
      </c>
      <c r="V90" s="14"/>
      <c r="W90" s="14">
        <v>0</v>
      </c>
      <c r="X90" s="14"/>
      <c r="Y90" s="14">
        <v>0</v>
      </c>
      <c r="Z90" s="14"/>
      <c r="AA90" s="14">
        <v>0</v>
      </c>
      <c r="AB90" s="14"/>
      <c r="AC90" s="14">
        <v>0</v>
      </c>
      <c r="AD90" s="13" t="s">
        <v>298</v>
      </c>
      <c r="AF90" s="13" t="s">
        <v>171</v>
      </c>
      <c r="AG90" s="14"/>
      <c r="AH90" s="14">
        <v>0</v>
      </c>
      <c r="AI90" s="14"/>
      <c r="AJ90" s="14">
        <v>0</v>
      </c>
      <c r="AK90" s="14"/>
      <c r="AL90" s="14">
        <v>0</v>
      </c>
      <c r="AM90" s="14"/>
      <c r="AN90" s="14">
        <v>0</v>
      </c>
      <c r="AO90" s="14"/>
      <c r="AP90" s="14">
        <v>0</v>
      </c>
      <c r="AQ90" s="14"/>
      <c r="AR90" s="21">
        <f t="shared" si="7"/>
        <v>0</v>
      </c>
      <c r="AS90" s="14"/>
      <c r="AT90" s="21">
        <f t="shared" si="8"/>
        <v>5702443</v>
      </c>
    </row>
    <row r="91" spans="1:46" s="13" customFormat="1" hidden="1">
      <c r="A91" s="13" t="s">
        <v>357</v>
      </c>
      <c r="C91" s="13" t="s">
        <v>21</v>
      </c>
      <c r="E91" s="14">
        <v>0</v>
      </c>
      <c r="F91" s="14"/>
      <c r="G91" s="14">
        <v>0</v>
      </c>
      <c r="H91" s="14"/>
      <c r="I91" s="14">
        <v>0</v>
      </c>
      <c r="J91" s="14"/>
      <c r="K91" s="14">
        <v>0</v>
      </c>
      <c r="L91" s="14"/>
      <c r="M91" s="14">
        <v>0</v>
      </c>
      <c r="N91" s="14"/>
      <c r="O91" s="14">
        <v>0</v>
      </c>
      <c r="P91" s="14"/>
      <c r="Q91" s="14">
        <v>0</v>
      </c>
      <c r="R91" s="14"/>
      <c r="S91" s="14">
        <v>0</v>
      </c>
      <c r="T91" s="14"/>
      <c r="U91" s="21">
        <f t="shared" si="6"/>
        <v>0</v>
      </c>
      <c r="V91" s="14"/>
      <c r="W91" s="14">
        <v>0</v>
      </c>
      <c r="X91" s="14"/>
      <c r="Y91" s="14">
        <v>0</v>
      </c>
      <c r="Z91" s="14"/>
      <c r="AA91" s="14">
        <v>0</v>
      </c>
      <c r="AB91" s="14"/>
      <c r="AC91" s="14">
        <v>0</v>
      </c>
      <c r="AD91" s="13" t="s">
        <v>357</v>
      </c>
      <c r="AF91" s="13" t="s">
        <v>21</v>
      </c>
      <c r="AG91" s="14"/>
      <c r="AH91" s="14">
        <v>0</v>
      </c>
      <c r="AI91" s="14"/>
      <c r="AJ91" s="14">
        <v>0</v>
      </c>
      <c r="AK91" s="14"/>
      <c r="AL91" s="14">
        <v>0</v>
      </c>
      <c r="AM91" s="14"/>
      <c r="AN91" s="14">
        <v>0</v>
      </c>
      <c r="AO91" s="14"/>
      <c r="AP91" s="14">
        <v>0</v>
      </c>
      <c r="AQ91" s="14"/>
      <c r="AR91" s="21">
        <f t="shared" si="7"/>
        <v>0</v>
      </c>
      <c r="AS91" s="14"/>
      <c r="AT91" s="21">
        <f t="shared" si="8"/>
        <v>0</v>
      </c>
    </row>
    <row r="92" spans="1:46" s="13" customFormat="1">
      <c r="A92" s="13" t="s">
        <v>299</v>
      </c>
      <c r="C92" s="13" t="s">
        <v>172</v>
      </c>
      <c r="E92" s="14">
        <v>0</v>
      </c>
      <c r="F92" s="14"/>
      <c r="G92" s="14">
        <f>66526+799421</f>
        <v>865947</v>
      </c>
      <c r="H92" s="14"/>
      <c r="I92" s="14">
        <v>1409</v>
      </c>
      <c r="J92" s="14"/>
      <c r="K92" s="14">
        <f>3613306+751450</f>
        <v>4364756</v>
      </c>
      <c r="L92" s="14"/>
      <c r="M92" s="14">
        <v>0</v>
      </c>
      <c r="N92" s="14"/>
      <c r="O92" s="14">
        <v>0</v>
      </c>
      <c r="P92" s="14"/>
      <c r="Q92" s="14">
        <v>0</v>
      </c>
      <c r="R92" s="14"/>
      <c r="S92" s="14">
        <v>151798</v>
      </c>
      <c r="T92" s="14"/>
      <c r="U92" s="21">
        <f t="shared" si="6"/>
        <v>5383910</v>
      </c>
      <c r="V92" s="14"/>
      <c r="W92" s="14">
        <v>0</v>
      </c>
      <c r="X92" s="14"/>
      <c r="Y92" s="14">
        <v>0</v>
      </c>
      <c r="Z92" s="14"/>
      <c r="AA92" s="14">
        <v>0</v>
      </c>
      <c r="AB92" s="14"/>
      <c r="AC92" s="14">
        <v>0</v>
      </c>
      <c r="AD92" s="13" t="s">
        <v>299</v>
      </c>
      <c r="AF92" s="13" t="s">
        <v>172</v>
      </c>
      <c r="AG92" s="14"/>
      <c r="AH92" s="14">
        <v>0</v>
      </c>
      <c r="AI92" s="14"/>
      <c r="AJ92" s="14">
        <v>0</v>
      </c>
      <c r="AK92" s="14"/>
      <c r="AL92" s="14"/>
      <c r="AM92" s="14"/>
      <c r="AN92" s="14">
        <v>0</v>
      </c>
      <c r="AO92" s="14"/>
      <c r="AP92" s="14">
        <v>0</v>
      </c>
      <c r="AQ92" s="14"/>
      <c r="AR92" s="21">
        <f t="shared" si="7"/>
        <v>0</v>
      </c>
      <c r="AS92" s="14"/>
      <c r="AT92" s="21">
        <f t="shared" si="8"/>
        <v>5383910</v>
      </c>
    </row>
    <row r="93" spans="1:46" s="13" customFormat="1">
      <c r="A93" s="13" t="s">
        <v>300</v>
      </c>
      <c r="C93" s="13" t="s">
        <v>173</v>
      </c>
      <c r="E93" s="14">
        <v>0</v>
      </c>
      <c r="F93" s="14"/>
      <c r="G93" s="14">
        <v>1257990</v>
      </c>
      <c r="H93" s="14"/>
      <c r="I93" s="14">
        <v>158</v>
      </c>
      <c r="J93" s="14"/>
      <c r="K93" s="14">
        <f>171227+4410596</f>
        <v>4581823</v>
      </c>
      <c r="L93" s="14"/>
      <c r="M93" s="14">
        <v>4701</v>
      </c>
      <c r="N93" s="14"/>
      <c r="O93" s="14">
        <v>0</v>
      </c>
      <c r="P93" s="14"/>
      <c r="Q93" s="14">
        <v>29799</v>
      </c>
      <c r="R93" s="14"/>
      <c r="S93" s="14">
        <v>3481</v>
      </c>
      <c r="T93" s="14"/>
      <c r="U93" s="21">
        <f t="shared" si="6"/>
        <v>5877952</v>
      </c>
      <c r="V93" s="14"/>
      <c r="W93" s="14">
        <v>0</v>
      </c>
      <c r="X93" s="14"/>
      <c r="Y93" s="14">
        <v>0</v>
      </c>
      <c r="Z93" s="14"/>
      <c r="AA93" s="14">
        <v>0</v>
      </c>
      <c r="AB93" s="14"/>
      <c r="AC93" s="14">
        <v>0</v>
      </c>
      <c r="AD93" s="13" t="s">
        <v>300</v>
      </c>
      <c r="AF93" s="13" t="s">
        <v>173</v>
      </c>
      <c r="AG93" s="14"/>
      <c r="AH93" s="14">
        <v>0</v>
      </c>
      <c r="AI93" s="14"/>
      <c r="AJ93" s="14">
        <v>0</v>
      </c>
      <c r="AK93" s="14"/>
      <c r="AL93" s="14"/>
      <c r="AM93" s="14"/>
      <c r="AN93" s="14">
        <v>0</v>
      </c>
      <c r="AO93" s="14"/>
      <c r="AP93" s="14">
        <v>0</v>
      </c>
      <c r="AQ93" s="14"/>
      <c r="AR93" s="21">
        <f t="shared" si="7"/>
        <v>0</v>
      </c>
      <c r="AS93" s="14"/>
      <c r="AT93" s="21">
        <f t="shared" si="8"/>
        <v>5877952</v>
      </c>
    </row>
    <row r="94" spans="1:46" s="13" customFormat="1">
      <c r="A94" s="13" t="s">
        <v>301</v>
      </c>
      <c r="C94" s="13" t="s">
        <v>148</v>
      </c>
      <c r="E94" s="14">
        <v>5699009</v>
      </c>
      <c r="F94" s="14"/>
      <c r="G94" s="14">
        <v>4976313</v>
      </c>
      <c r="H94" s="14"/>
      <c r="I94" s="14">
        <v>29</v>
      </c>
      <c r="J94" s="14"/>
      <c r="K94" s="14">
        <f>3563842+5292241+8250</f>
        <v>8864333</v>
      </c>
      <c r="L94" s="14"/>
      <c r="M94" s="14">
        <v>33374</v>
      </c>
      <c r="N94" s="14"/>
      <c r="O94" s="14">
        <v>0</v>
      </c>
      <c r="P94" s="14"/>
      <c r="Q94" s="14">
        <v>0</v>
      </c>
      <c r="R94" s="14"/>
      <c r="S94" s="14">
        <v>272915</v>
      </c>
      <c r="T94" s="14"/>
      <c r="U94" s="21">
        <f t="shared" si="6"/>
        <v>19845973</v>
      </c>
      <c r="V94" s="14"/>
      <c r="W94" s="14">
        <v>4401</v>
      </c>
      <c r="X94" s="14"/>
      <c r="Y94" s="14">
        <v>0</v>
      </c>
      <c r="Z94" s="14"/>
      <c r="AA94" s="14">
        <v>0</v>
      </c>
      <c r="AB94" s="14"/>
      <c r="AC94" s="14">
        <v>0</v>
      </c>
      <c r="AD94" s="13" t="s">
        <v>301</v>
      </c>
      <c r="AF94" s="13" t="s">
        <v>148</v>
      </c>
      <c r="AG94" s="14"/>
      <c r="AH94" s="14">
        <v>0</v>
      </c>
      <c r="AI94" s="14"/>
      <c r="AJ94" s="14">
        <v>0</v>
      </c>
      <c r="AK94" s="14"/>
      <c r="AL94" s="14"/>
      <c r="AM94" s="14"/>
      <c r="AN94" s="14">
        <v>0</v>
      </c>
      <c r="AO94" s="14"/>
      <c r="AP94" s="14">
        <v>0</v>
      </c>
      <c r="AQ94" s="14"/>
      <c r="AR94" s="21">
        <f t="shared" si="7"/>
        <v>4401</v>
      </c>
      <c r="AS94" s="14"/>
      <c r="AT94" s="21">
        <f t="shared" si="8"/>
        <v>19850374</v>
      </c>
    </row>
    <row r="95" spans="1:46" s="13" customFormat="1">
      <c r="A95" s="13" t="s">
        <v>302</v>
      </c>
      <c r="C95" s="13" t="s">
        <v>174</v>
      </c>
      <c r="E95" s="14">
        <v>0</v>
      </c>
      <c r="F95" s="14"/>
      <c r="G95" s="14">
        <v>562472</v>
      </c>
      <c r="H95" s="14"/>
      <c r="I95" s="14">
        <v>1063</v>
      </c>
      <c r="J95" s="14"/>
      <c r="K95" s="14">
        <f>570514+1205371+1890</f>
        <v>1777775</v>
      </c>
      <c r="L95" s="14"/>
      <c r="M95" s="14">
        <v>0</v>
      </c>
      <c r="N95" s="14"/>
      <c r="O95" s="14">
        <v>0</v>
      </c>
      <c r="P95" s="14"/>
      <c r="Q95" s="14">
        <v>0</v>
      </c>
      <c r="R95" s="14"/>
      <c r="S95" s="14">
        <v>59166</v>
      </c>
      <c r="T95" s="14"/>
      <c r="U95" s="21">
        <f t="shared" si="6"/>
        <v>2400476</v>
      </c>
      <c r="V95" s="14"/>
      <c r="W95" s="14">
        <v>0</v>
      </c>
      <c r="X95" s="14"/>
      <c r="Y95" s="14">
        <v>0</v>
      </c>
      <c r="Z95" s="14"/>
      <c r="AA95" s="14">
        <v>0</v>
      </c>
      <c r="AB95" s="14"/>
      <c r="AC95" s="14">
        <v>0</v>
      </c>
      <c r="AD95" s="13" t="s">
        <v>302</v>
      </c>
      <c r="AF95" s="13" t="s">
        <v>174</v>
      </c>
      <c r="AG95" s="14"/>
      <c r="AH95" s="14">
        <v>0</v>
      </c>
      <c r="AI95" s="14"/>
      <c r="AJ95" s="14">
        <v>0</v>
      </c>
      <c r="AK95" s="14"/>
      <c r="AL95" s="14"/>
      <c r="AM95" s="14"/>
      <c r="AN95" s="14">
        <v>0</v>
      </c>
      <c r="AO95" s="14"/>
      <c r="AP95" s="14">
        <v>0</v>
      </c>
      <c r="AQ95" s="14"/>
      <c r="AR95" s="21">
        <f t="shared" si="7"/>
        <v>0</v>
      </c>
      <c r="AS95" s="14"/>
      <c r="AT95" s="21">
        <f t="shared" si="8"/>
        <v>2400476</v>
      </c>
    </row>
    <row r="96" spans="1:46" s="13" customFormat="1">
      <c r="A96" s="3" t="s">
        <v>303</v>
      </c>
      <c r="B96" s="3"/>
      <c r="C96" s="3" t="s">
        <v>175</v>
      </c>
      <c r="E96" s="14">
        <v>0</v>
      </c>
      <c r="F96" s="14"/>
      <c r="G96" s="14">
        <v>2189573</v>
      </c>
      <c r="H96" s="14"/>
      <c r="I96" s="14">
        <v>1411</v>
      </c>
      <c r="J96" s="14"/>
      <c r="K96" s="14">
        <f>7389408+329722</f>
        <v>7719130</v>
      </c>
      <c r="L96" s="14"/>
      <c r="M96" s="14">
        <v>0</v>
      </c>
      <c r="N96" s="14"/>
      <c r="O96" s="14">
        <v>0</v>
      </c>
      <c r="P96" s="14"/>
      <c r="Q96" s="14">
        <v>57708</v>
      </c>
      <c r="R96" s="14"/>
      <c r="S96" s="14">
        <v>23925</v>
      </c>
      <c r="T96" s="14"/>
      <c r="U96" s="21">
        <f t="shared" si="6"/>
        <v>9991747</v>
      </c>
      <c r="V96" s="14"/>
      <c r="W96" s="14">
        <v>0</v>
      </c>
      <c r="X96" s="14"/>
      <c r="Y96" s="14">
        <v>0</v>
      </c>
      <c r="Z96" s="14"/>
      <c r="AA96" s="14">
        <v>0</v>
      </c>
      <c r="AB96" s="14"/>
      <c r="AC96" s="14">
        <v>0</v>
      </c>
      <c r="AD96" s="3" t="s">
        <v>303</v>
      </c>
      <c r="AE96" s="3"/>
      <c r="AF96" s="3" t="s">
        <v>175</v>
      </c>
      <c r="AG96" s="14"/>
      <c r="AH96" s="14">
        <v>8782</v>
      </c>
      <c r="AI96" s="14"/>
      <c r="AJ96" s="14">
        <v>0</v>
      </c>
      <c r="AK96" s="14"/>
      <c r="AL96" s="14"/>
      <c r="AM96" s="14"/>
      <c r="AN96" s="14">
        <v>0</v>
      </c>
      <c r="AO96" s="14"/>
      <c r="AP96" s="14">
        <v>0</v>
      </c>
      <c r="AQ96" s="14"/>
      <c r="AR96" s="21">
        <f t="shared" si="7"/>
        <v>8782</v>
      </c>
      <c r="AS96" s="14"/>
      <c r="AT96" s="21">
        <f t="shared" si="8"/>
        <v>10000529</v>
      </c>
    </row>
    <row r="97" spans="1:46" s="13" customFormat="1">
      <c r="A97" s="13" t="s">
        <v>304</v>
      </c>
      <c r="C97" s="13" t="s">
        <v>176</v>
      </c>
      <c r="E97" s="14">
        <v>0</v>
      </c>
      <c r="F97" s="14"/>
      <c r="G97" s="14">
        <v>270777</v>
      </c>
      <c r="H97" s="14"/>
      <c r="I97" s="14">
        <v>242</v>
      </c>
      <c r="J97" s="14"/>
      <c r="K97" s="14">
        <f>2730108+775506</f>
        <v>3505614</v>
      </c>
      <c r="L97" s="14"/>
      <c r="M97" s="14">
        <v>356</v>
      </c>
      <c r="N97" s="14"/>
      <c r="O97" s="14">
        <v>0</v>
      </c>
      <c r="P97" s="14"/>
      <c r="Q97" s="14">
        <v>49579</v>
      </c>
      <c r="R97" s="14"/>
      <c r="S97" s="14">
        <v>110011</v>
      </c>
      <c r="T97" s="14"/>
      <c r="U97" s="21">
        <f t="shared" si="6"/>
        <v>3936579</v>
      </c>
      <c r="V97" s="14"/>
      <c r="W97" s="14">
        <v>0</v>
      </c>
      <c r="X97" s="14"/>
      <c r="Y97" s="14">
        <v>0</v>
      </c>
      <c r="Z97" s="14"/>
      <c r="AA97" s="14">
        <v>0</v>
      </c>
      <c r="AB97" s="14"/>
      <c r="AC97" s="14">
        <v>0</v>
      </c>
      <c r="AD97" s="13" t="s">
        <v>304</v>
      </c>
      <c r="AF97" s="13" t="s">
        <v>176</v>
      </c>
      <c r="AG97" s="14"/>
      <c r="AH97" s="14">
        <v>0</v>
      </c>
      <c r="AI97" s="14"/>
      <c r="AJ97" s="14">
        <v>0</v>
      </c>
      <c r="AK97" s="14"/>
      <c r="AL97" s="14"/>
      <c r="AM97" s="14"/>
      <c r="AN97" s="14">
        <v>0</v>
      </c>
      <c r="AO97" s="14"/>
      <c r="AP97" s="14">
        <v>0</v>
      </c>
      <c r="AQ97" s="14"/>
      <c r="AR97" s="21">
        <f t="shared" si="7"/>
        <v>0</v>
      </c>
      <c r="AS97" s="14"/>
      <c r="AT97" s="21">
        <f t="shared" si="8"/>
        <v>3936579</v>
      </c>
    </row>
    <row r="98" spans="1:46" s="13" customFormat="1">
      <c r="A98" s="13" t="s">
        <v>359</v>
      </c>
      <c r="C98" s="13" t="s">
        <v>144</v>
      </c>
      <c r="E98" s="14">
        <v>0</v>
      </c>
      <c r="F98" s="14"/>
      <c r="G98" s="14">
        <v>4068956</v>
      </c>
      <c r="H98" s="14"/>
      <c r="I98" s="14">
        <v>46109</v>
      </c>
      <c r="J98" s="14"/>
      <c r="K98" s="14">
        <f>4497157+1389267</f>
        <v>5886424</v>
      </c>
      <c r="L98" s="14"/>
      <c r="M98" s="14">
        <v>0</v>
      </c>
      <c r="N98" s="14"/>
      <c r="O98" s="14">
        <v>0</v>
      </c>
      <c r="P98" s="14"/>
      <c r="Q98" s="14">
        <v>0</v>
      </c>
      <c r="R98" s="14"/>
      <c r="S98" s="14">
        <v>239456</v>
      </c>
      <c r="T98" s="14"/>
      <c r="U98" s="21">
        <f t="shared" si="6"/>
        <v>10240945</v>
      </c>
      <c r="V98" s="14"/>
      <c r="W98" s="14">
        <v>33773</v>
      </c>
      <c r="X98" s="14"/>
      <c r="Y98" s="14">
        <v>0</v>
      </c>
      <c r="Z98" s="14"/>
      <c r="AA98" s="14">
        <v>0</v>
      </c>
      <c r="AB98" s="14"/>
      <c r="AC98" s="14">
        <v>0</v>
      </c>
      <c r="AD98" s="13" t="s">
        <v>359</v>
      </c>
      <c r="AF98" s="13" t="s">
        <v>144</v>
      </c>
      <c r="AG98" s="14"/>
      <c r="AH98" s="14">
        <v>0</v>
      </c>
      <c r="AI98" s="14"/>
      <c r="AJ98" s="14">
        <v>0</v>
      </c>
      <c r="AK98" s="14"/>
      <c r="AL98" s="14"/>
      <c r="AM98" s="14"/>
      <c r="AN98" s="14">
        <v>0</v>
      </c>
      <c r="AO98" s="14"/>
      <c r="AP98" s="14">
        <v>0</v>
      </c>
      <c r="AQ98" s="14"/>
      <c r="AR98" s="21">
        <f t="shared" si="7"/>
        <v>33773</v>
      </c>
      <c r="AS98" s="14"/>
      <c r="AT98" s="21">
        <f t="shared" si="8"/>
        <v>10274718</v>
      </c>
    </row>
    <row r="99" spans="1:46" s="13" customFormat="1">
      <c r="A99" s="13" t="s">
        <v>358</v>
      </c>
      <c r="C99" s="13" t="s">
        <v>177</v>
      </c>
      <c r="E99" s="14">
        <v>0</v>
      </c>
      <c r="F99" s="14"/>
      <c r="G99" s="14">
        <f>3940399+3137186</f>
        <v>7077585</v>
      </c>
      <c r="H99" s="14"/>
      <c r="I99" s="14">
        <v>10456</v>
      </c>
      <c r="J99" s="14"/>
      <c r="K99" s="14">
        <f>6793268+90823+1997+9717401+143858</f>
        <v>16747347</v>
      </c>
      <c r="L99" s="14"/>
      <c r="M99" s="14">
        <v>1793</v>
      </c>
      <c r="N99" s="14"/>
      <c r="O99" s="14">
        <v>0</v>
      </c>
      <c r="P99" s="14"/>
      <c r="Q99" s="14">
        <v>53655</v>
      </c>
      <c r="R99" s="14"/>
      <c r="S99" s="14">
        <v>168080</v>
      </c>
      <c r="T99" s="14"/>
      <c r="U99" s="21">
        <f t="shared" si="6"/>
        <v>24058916</v>
      </c>
      <c r="V99" s="14"/>
      <c r="W99" s="14">
        <v>278254</v>
      </c>
      <c r="X99" s="14"/>
      <c r="Y99" s="14">
        <v>0</v>
      </c>
      <c r="Z99" s="14"/>
      <c r="AA99" s="14">
        <v>0</v>
      </c>
      <c r="AB99" s="14"/>
      <c r="AC99" s="14">
        <v>0</v>
      </c>
      <c r="AD99" s="13" t="s">
        <v>358</v>
      </c>
      <c r="AF99" s="13" t="s">
        <v>177</v>
      </c>
      <c r="AG99" s="14"/>
      <c r="AH99" s="14">
        <v>0</v>
      </c>
      <c r="AI99" s="14"/>
      <c r="AJ99" s="14">
        <v>0</v>
      </c>
      <c r="AK99" s="14"/>
      <c r="AL99" s="14"/>
      <c r="AM99" s="14"/>
      <c r="AN99" s="14">
        <v>0</v>
      </c>
      <c r="AO99" s="14"/>
      <c r="AP99" s="14">
        <v>0</v>
      </c>
      <c r="AQ99" s="14"/>
      <c r="AR99" s="21">
        <f t="shared" si="7"/>
        <v>278254</v>
      </c>
      <c r="AS99" s="14"/>
      <c r="AT99" s="21">
        <f t="shared" si="8"/>
        <v>24337170</v>
      </c>
    </row>
    <row r="100" spans="1:46" s="13" customFormat="1" hidden="1">
      <c r="A100" s="3" t="s">
        <v>322</v>
      </c>
      <c r="C100" s="13" t="s">
        <v>153</v>
      </c>
      <c r="E100" s="14">
        <v>0</v>
      </c>
      <c r="F100" s="14"/>
      <c r="G100" s="14">
        <v>0</v>
      </c>
      <c r="H100" s="14"/>
      <c r="I100" s="14">
        <v>0</v>
      </c>
      <c r="J100" s="14"/>
      <c r="K100" s="14">
        <v>0</v>
      </c>
      <c r="L100" s="14"/>
      <c r="M100" s="14">
        <v>0</v>
      </c>
      <c r="N100" s="14"/>
      <c r="O100" s="14">
        <v>0</v>
      </c>
      <c r="P100" s="14"/>
      <c r="Q100" s="14">
        <v>0</v>
      </c>
      <c r="R100" s="14"/>
      <c r="S100" s="14">
        <v>0</v>
      </c>
      <c r="T100" s="14"/>
      <c r="U100" s="21">
        <f t="shared" si="6"/>
        <v>0</v>
      </c>
      <c r="V100" s="14"/>
      <c r="W100" s="14">
        <v>0</v>
      </c>
      <c r="X100" s="14"/>
      <c r="Y100" s="14">
        <v>0</v>
      </c>
      <c r="Z100" s="14"/>
      <c r="AA100" s="14">
        <v>0</v>
      </c>
      <c r="AB100" s="14"/>
      <c r="AC100" s="14">
        <v>0</v>
      </c>
      <c r="AD100" s="3" t="s">
        <v>322</v>
      </c>
      <c r="AF100" s="13" t="s">
        <v>153</v>
      </c>
      <c r="AG100" s="14"/>
      <c r="AH100" s="14">
        <v>0</v>
      </c>
      <c r="AI100" s="14"/>
      <c r="AJ100" s="14">
        <v>0</v>
      </c>
      <c r="AK100" s="14"/>
      <c r="AL100" s="14"/>
      <c r="AM100" s="14"/>
      <c r="AN100" s="14">
        <v>0</v>
      </c>
      <c r="AO100" s="14"/>
      <c r="AP100" s="14">
        <v>0</v>
      </c>
      <c r="AQ100" s="14"/>
      <c r="AR100" s="21">
        <f t="shared" si="7"/>
        <v>0</v>
      </c>
      <c r="AS100" s="14"/>
      <c r="AT100" s="21">
        <f t="shared" si="8"/>
        <v>0</v>
      </c>
    </row>
    <row r="101" spans="1:46" s="13" customFormat="1">
      <c r="A101" s="3" t="s">
        <v>323</v>
      </c>
      <c r="C101" s="13" t="s">
        <v>178</v>
      </c>
      <c r="E101" s="14">
        <v>0</v>
      </c>
      <c r="F101" s="14"/>
      <c r="G101" s="14">
        <f>98580+2505985+3843269</f>
        <v>6447834</v>
      </c>
      <c r="H101" s="14"/>
      <c r="I101" s="14">
        <v>27206</v>
      </c>
      <c r="J101" s="14"/>
      <c r="K101" s="14">
        <f>12902330+3323007</f>
        <v>16225337</v>
      </c>
      <c r="L101" s="14"/>
      <c r="M101" s="14">
        <v>0</v>
      </c>
      <c r="N101" s="14"/>
      <c r="O101" s="14">
        <v>0</v>
      </c>
      <c r="P101" s="14"/>
      <c r="Q101" s="14">
        <v>0</v>
      </c>
      <c r="R101" s="14"/>
      <c r="S101" s="14">
        <v>143915</v>
      </c>
      <c r="T101" s="14"/>
      <c r="U101" s="21">
        <f t="shared" ref="U101:U130" si="9">SUM(E101:T101)</f>
        <v>22844292</v>
      </c>
      <c r="V101" s="14"/>
      <c r="W101" s="14">
        <v>110000</v>
      </c>
      <c r="X101" s="14"/>
      <c r="Y101" s="14">
        <v>0</v>
      </c>
      <c r="Z101" s="14"/>
      <c r="AA101" s="14">
        <v>0</v>
      </c>
      <c r="AB101" s="14"/>
      <c r="AC101" s="14">
        <v>0</v>
      </c>
      <c r="AD101" s="3" t="s">
        <v>323</v>
      </c>
      <c r="AF101" s="13" t="s">
        <v>178</v>
      </c>
      <c r="AG101" s="14"/>
      <c r="AH101" s="14">
        <v>0</v>
      </c>
      <c r="AI101" s="14"/>
      <c r="AJ101" s="14">
        <v>3035</v>
      </c>
      <c r="AK101" s="14"/>
      <c r="AL101" s="14"/>
      <c r="AM101" s="14"/>
      <c r="AN101" s="14">
        <v>0</v>
      </c>
      <c r="AO101" s="14"/>
      <c r="AP101" s="14">
        <v>0</v>
      </c>
      <c r="AQ101" s="14"/>
      <c r="AR101" s="21">
        <f t="shared" ref="AR101:AR130" si="10">SUM(W101:AP101)</f>
        <v>113035</v>
      </c>
      <c r="AS101" s="14"/>
      <c r="AT101" s="21">
        <f t="shared" ref="AT101:AT130" si="11">+AR101+U101</f>
        <v>22957327</v>
      </c>
    </row>
    <row r="102" spans="1:46" s="13" customFormat="1">
      <c r="A102" s="3" t="s">
        <v>179</v>
      </c>
      <c r="C102" s="13" t="s">
        <v>180</v>
      </c>
      <c r="E102" s="14">
        <v>0</v>
      </c>
      <c r="F102" s="14"/>
      <c r="G102" s="14">
        <v>1570700</v>
      </c>
      <c r="H102" s="14"/>
      <c r="I102" s="14">
        <v>16241</v>
      </c>
      <c r="J102" s="14"/>
      <c r="K102" s="14">
        <f>102993+4235267</f>
        <v>4338260</v>
      </c>
      <c r="L102" s="14"/>
      <c r="M102" s="14">
        <v>0</v>
      </c>
      <c r="N102" s="14"/>
      <c r="O102" s="14">
        <v>0</v>
      </c>
      <c r="P102" s="14"/>
      <c r="Q102" s="14">
        <v>12318</v>
      </c>
      <c r="R102" s="14"/>
      <c r="S102" s="14">
        <v>2875</v>
      </c>
      <c r="T102" s="14"/>
      <c r="U102" s="21">
        <f t="shared" si="9"/>
        <v>5940394</v>
      </c>
      <c r="V102" s="14"/>
      <c r="W102" s="14">
        <v>20</v>
      </c>
      <c r="X102" s="14"/>
      <c r="Y102" s="14">
        <v>0</v>
      </c>
      <c r="Z102" s="14"/>
      <c r="AA102" s="14">
        <v>0</v>
      </c>
      <c r="AB102" s="14"/>
      <c r="AC102" s="14">
        <v>0</v>
      </c>
      <c r="AD102" s="3" t="s">
        <v>179</v>
      </c>
      <c r="AF102" s="13" t="s">
        <v>180</v>
      </c>
      <c r="AG102" s="14"/>
      <c r="AH102" s="14">
        <v>0</v>
      </c>
      <c r="AI102" s="14"/>
      <c r="AJ102" s="14">
        <v>0</v>
      </c>
      <c r="AK102" s="14"/>
      <c r="AL102" s="14"/>
      <c r="AM102" s="14"/>
      <c r="AN102" s="14">
        <v>0</v>
      </c>
      <c r="AO102" s="14"/>
      <c r="AP102" s="14">
        <v>0</v>
      </c>
      <c r="AQ102" s="14"/>
      <c r="AR102" s="21">
        <f t="shared" si="10"/>
        <v>20</v>
      </c>
      <c r="AS102" s="14"/>
      <c r="AT102" s="21">
        <f t="shared" si="11"/>
        <v>5940414</v>
      </c>
    </row>
    <row r="103" spans="1:46" s="13" customFormat="1" ht="12" hidden="1" customHeight="1">
      <c r="A103" s="3" t="s">
        <v>324</v>
      </c>
      <c r="C103" s="13" t="s">
        <v>181</v>
      </c>
      <c r="E103" s="14">
        <v>0</v>
      </c>
      <c r="F103" s="14"/>
      <c r="G103" s="14">
        <v>0</v>
      </c>
      <c r="H103" s="14"/>
      <c r="I103" s="14">
        <v>0</v>
      </c>
      <c r="J103" s="14"/>
      <c r="K103" s="14">
        <v>0</v>
      </c>
      <c r="L103" s="14"/>
      <c r="M103" s="14">
        <v>0</v>
      </c>
      <c r="N103" s="14"/>
      <c r="O103" s="14">
        <v>0</v>
      </c>
      <c r="P103" s="14"/>
      <c r="Q103" s="14">
        <v>0</v>
      </c>
      <c r="R103" s="14"/>
      <c r="S103" s="14">
        <v>0</v>
      </c>
      <c r="T103" s="14"/>
      <c r="U103" s="21">
        <f t="shared" si="9"/>
        <v>0</v>
      </c>
      <c r="V103" s="14"/>
      <c r="W103" s="14">
        <v>0</v>
      </c>
      <c r="X103" s="14"/>
      <c r="Y103" s="14">
        <v>0</v>
      </c>
      <c r="Z103" s="14"/>
      <c r="AA103" s="14">
        <v>0</v>
      </c>
      <c r="AB103" s="14"/>
      <c r="AC103" s="14">
        <v>0</v>
      </c>
      <c r="AD103" s="3" t="s">
        <v>324</v>
      </c>
      <c r="AF103" s="13" t="s">
        <v>181</v>
      </c>
      <c r="AG103" s="14"/>
      <c r="AH103" s="14">
        <v>0</v>
      </c>
      <c r="AI103" s="14"/>
      <c r="AJ103" s="14">
        <v>0</v>
      </c>
      <c r="AK103" s="14"/>
      <c r="AL103" s="14"/>
      <c r="AM103" s="14"/>
      <c r="AN103" s="14">
        <v>0</v>
      </c>
      <c r="AO103" s="14"/>
      <c r="AP103" s="14">
        <v>0</v>
      </c>
      <c r="AQ103" s="14"/>
      <c r="AR103" s="21">
        <f t="shared" si="10"/>
        <v>0</v>
      </c>
      <c r="AS103" s="14"/>
      <c r="AT103" s="21">
        <f t="shared" si="11"/>
        <v>0</v>
      </c>
    </row>
    <row r="104" spans="1:46" s="13" customFormat="1">
      <c r="A104" s="3" t="s">
        <v>325</v>
      </c>
      <c r="C104" s="13" t="s">
        <v>182</v>
      </c>
      <c r="E104" s="14">
        <v>0</v>
      </c>
      <c r="F104" s="14"/>
      <c r="G104" s="14">
        <v>1285457</v>
      </c>
      <c r="H104" s="14"/>
      <c r="I104" s="14">
        <v>9615</v>
      </c>
      <c r="J104" s="14"/>
      <c r="K104" s="14">
        <f>11389346+24655</f>
        <v>11414001</v>
      </c>
      <c r="L104" s="14"/>
      <c r="M104" s="14">
        <v>1231</v>
      </c>
      <c r="N104" s="14"/>
      <c r="O104" s="14">
        <v>0</v>
      </c>
      <c r="P104" s="14"/>
      <c r="Q104" s="14">
        <v>4346</v>
      </c>
      <c r="R104" s="14"/>
      <c r="S104" s="14">
        <v>89262</v>
      </c>
      <c r="T104" s="14"/>
      <c r="U104" s="21">
        <f t="shared" si="9"/>
        <v>12803912</v>
      </c>
      <c r="V104" s="14"/>
      <c r="W104" s="14">
        <v>0</v>
      </c>
      <c r="X104" s="14"/>
      <c r="Y104" s="14">
        <v>0</v>
      </c>
      <c r="Z104" s="14"/>
      <c r="AA104" s="14">
        <v>0</v>
      </c>
      <c r="AB104" s="14"/>
      <c r="AC104" s="14">
        <v>0</v>
      </c>
      <c r="AD104" s="3" t="s">
        <v>325</v>
      </c>
      <c r="AF104" s="13" t="s">
        <v>182</v>
      </c>
      <c r="AG104" s="14"/>
      <c r="AH104" s="14">
        <v>0</v>
      </c>
      <c r="AI104" s="14"/>
      <c r="AJ104" s="14">
        <v>0</v>
      </c>
      <c r="AK104" s="14"/>
      <c r="AL104" s="14"/>
      <c r="AM104" s="14"/>
      <c r="AN104" s="14">
        <v>0</v>
      </c>
      <c r="AO104" s="14"/>
      <c r="AP104" s="14">
        <v>0</v>
      </c>
      <c r="AQ104" s="14"/>
      <c r="AR104" s="21">
        <f t="shared" si="10"/>
        <v>0</v>
      </c>
      <c r="AS104" s="14"/>
      <c r="AT104" s="21">
        <f t="shared" si="11"/>
        <v>12803912</v>
      </c>
    </row>
    <row r="105" spans="1:46" s="13" customFormat="1" hidden="1">
      <c r="A105" s="3" t="s">
        <v>280</v>
      </c>
      <c r="B105" s="3"/>
      <c r="C105" s="3" t="s">
        <v>191</v>
      </c>
      <c r="E105" s="14">
        <v>0</v>
      </c>
      <c r="F105" s="14"/>
      <c r="G105" s="14">
        <v>0</v>
      </c>
      <c r="H105" s="14"/>
      <c r="I105" s="14">
        <v>0</v>
      </c>
      <c r="J105" s="14"/>
      <c r="K105" s="14">
        <v>0</v>
      </c>
      <c r="L105" s="14"/>
      <c r="M105" s="14">
        <v>0</v>
      </c>
      <c r="N105" s="14"/>
      <c r="O105" s="14">
        <v>0</v>
      </c>
      <c r="P105" s="14"/>
      <c r="Q105" s="14">
        <v>0</v>
      </c>
      <c r="R105" s="14"/>
      <c r="S105" s="14">
        <v>0</v>
      </c>
      <c r="T105" s="14"/>
      <c r="U105" s="21">
        <f t="shared" si="9"/>
        <v>0</v>
      </c>
      <c r="V105" s="14"/>
      <c r="W105" s="14">
        <v>0</v>
      </c>
      <c r="X105" s="14"/>
      <c r="Y105" s="14">
        <v>0</v>
      </c>
      <c r="Z105" s="14"/>
      <c r="AA105" s="14">
        <v>0</v>
      </c>
      <c r="AB105" s="14"/>
      <c r="AC105" s="14">
        <v>0</v>
      </c>
      <c r="AD105" s="3" t="s">
        <v>280</v>
      </c>
      <c r="AE105" s="3"/>
      <c r="AF105" s="3" t="s">
        <v>191</v>
      </c>
      <c r="AG105" s="14"/>
      <c r="AH105" s="14">
        <v>0</v>
      </c>
      <c r="AI105" s="14"/>
      <c r="AJ105" s="14">
        <v>0</v>
      </c>
      <c r="AK105" s="14"/>
      <c r="AL105" s="14"/>
      <c r="AM105" s="14"/>
      <c r="AN105" s="14">
        <v>0</v>
      </c>
      <c r="AO105" s="14"/>
      <c r="AP105" s="14">
        <v>0</v>
      </c>
      <c r="AQ105" s="14"/>
      <c r="AR105" s="21">
        <f t="shared" si="10"/>
        <v>0</v>
      </c>
      <c r="AS105" s="14"/>
      <c r="AT105" s="21">
        <f t="shared" si="11"/>
        <v>0</v>
      </c>
    </row>
    <row r="106" spans="1:46" s="13" customFormat="1">
      <c r="A106" s="3" t="s">
        <v>326</v>
      </c>
      <c r="C106" s="13" t="s">
        <v>183</v>
      </c>
      <c r="E106" s="14">
        <v>0</v>
      </c>
      <c r="F106" s="14"/>
      <c r="G106" s="14">
        <v>5288591</v>
      </c>
      <c r="H106" s="14"/>
      <c r="I106" s="14">
        <v>27087</v>
      </c>
      <c r="J106" s="14"/>
      <c r="K106" s="14">
        <f>19557302+5922719</f>
        <v>25480021</v>
      </c>
      <c r="L106" s="14"/>
      <c r="M106" s="14">
        <v>0</v>
      </c>
      <c r="N106" s="14"/>
      <c r="O106" s="14">
        <v>0</v>
      </c>
      <c r="P106" s="14"/>
      <c r="Q106" s="14">
        <v>0</v>
      </c>
      <c r="R106" s="14"/>
      <c r="S106" s="14">
        <v>84164</v>
      </c>
      <c r="T106" s="14"/>
      <c r="U106" s="21">
        <f t="shared" si="9"/>
        <v>30879863</v>
      </c>
      <c r="V106" s="14"/>
      <c r="W106" s="14">
        <v>96023</v>
      </c>
      <c r="X106" s="14"/>
      <c r="Y106" s="14">
        <v>0</v>
      </c>
      <c r="Z106" s="14"/>
      <c r="AA106" s="14">
        <v>0</v>
      </c>
      <c r="AB106" s="14"/>
      <c r="AC106" s="14">
        <v>0</v>
      </c>
      <c r="AD106" s="3" t="s">
        <v>326</v>
      </c>
      <c r="AF106" s="13" t="s">
        <v>183</v>
      </c>
      <c r="AG106" s="14"/>
      <c r="AH106" s="14">
        <v>0</v>
      </c>
      <c r="AI106" s="14"/>
      <c r="AJ106" s="14">
        <v>0</v>
      </c>
      <c r="AK106" s="14"/>
      <c r="AL106" s="14"/>
      <c r="AM106" s="14"/>
      <c r="AN106" s="14">
        <v>5700</v>
      </c>
      <c r="AO106" s="14"/>
      <c r="AP106" s="14">
        <v>0</v>
      </c>
      <c r="AQ106" s="14"/>
      <c r="AR106" s="21">
        <f t="shared" si="10"/>
        <v>101723</v>
      </c>
      <c r="AS106" s="14"/>
      <c r="AT106" s="21">
        <f t="shared" si="11"/>
        <v>30981586</v>
      </c>
    </row>
    <row r="107" spans="1:46" s="13" customFormat="1">
      <c r="A107" s="3" t="s">
        <v>184</v>
      </c>
      <c r="C107" s="13" t="s">
        <v>185</v>
      </c>
      <c r="E107" s="14">
        <v>0</v>
      </c>
      <c r="F107" s="14"/>
      <c r="G107" s="14">
        <v>4946739</v>
      </c>
      <c r="H107" s="14"/>
      <c r="I107" s="14">
        <v>20533</v>
      </c>
      <c r="J107" s="14"/>
      <c r="K107" s="14">
        <f>8713982+3957582</f>
        <v>12671564</v>
      </c>
      <c r="L107" s="14"/>
      <c r="M107" s="14">
        <v>13815</v>
      </c>
      <c r="N107" s="14"/>
      <c r="O107" s="14">
        <v>0</v>
      </c>
      <c r="P107" s="14"/>
      <c r="Q107" s="14">
        <v>0</v>
      </c>
      <c r="R107" s="14"/>
      <c r="S107" s="14">
        <v>58577</v>
      </c>
      <c r="T107" s="14"/>
      <c r="U107" s="21">
        <f t="shared" si="9"/>
        <v>17711228</v>
      </c>
      <c r="V107" s="14"/>
      <c r="W107" s="14">
        <v>40862</v>
      </c>
      <c r="X107" s="14"/>
      <c r="Y107" s="14">
        <v>0</v>
      </c>
      <c r="Z107" s="14"/>
      <c r="AA107" s="14">
        <v>0</v>
      </c>
      <c r="AB107" s="14"/>
      <c r="AC107" s="14">
        <v>0</v>
      </c>
      <c r="AD107" s="3" t="s">
        <v>184</v>
      </c>
      <c r="AF107" s="13" t="s">
        <v>185</v>
      </c>
      <c r="AG107" s="14"/>
      <c r="AH107" s="14">
        <v>0</v>
      </c>
      <c r="AI107" s="14"/>
      <c r="AJ107" s="14">
        <v>0</v>
      </c>
      <c r="AK107" s="14"/>
      <c r="AL107" s="14"/>
      <c r="AM107" s="14"/>
      <c r="AN107" s="14">
        <v>0</v>
      </c>
      <c r="AO107" s="14"/>
      <c r="AP107" s="14">
        <v>0</v>
      </c>
      <c r="AQ107" s="14"/>
      <c r="AR107" s="21">
        <f t="shared" si="10"/>
        <v>40862</v>
      </c>
      <c r="AS107" s="14"/>
      <c r="AT107" s="21">
        <f t="shared" si="11"/>
        <v>17752090</v>
      </c>
    </row>
    <row r="108" spans="1:46" s="13" customFormat="1">
      <c r="A108" s="3" t="s">
        <v>268</v>
      </c>
      <c r="C108" s="13" t="s">
        <v>195</v>
      </c>
      <c r="E108" s="14">
        <v>0</v>
      </c>
      <c r="F108" s="14"/>
      <c r="G108" s="14">
        <f>19727+3427224+2003891</f>
        <v>5450842</v>
      </c>
      <c r="H108" s="14"/>
      <c r="I108" s="14">
        <v>1410</v>
      </c>
      <c r="J108" s="14"/>
      <c r="K108" s="14">
        <f>7016659+38584+5087784+6477</f>
        <v>12149504</v>
      </c>
      <c r="L108" s="14"/>
      <c r="M108" s="14">
        <v>1445</v>
      </c>
      <c r="N108" s="14"/>
      <c r="O108" s="14">
        <v>0</v>
      </c>
      <c r="P108" s="14"/>
      <c r="Q108" s="14">
        <v>35053</v>
      </c>
      <c r="R108" s="14"/>
      <c r="S108" s="14">
        <v>1010308</v>
      </c>
      <c r="T108" s="14"/>
      <c r="U108" s="21">
        <f t="shared" si="9"/>
        <v>18648562</v>
      </c>
      <c r="V108" s="14"/>
      <c r="W108" s="14">
        <v>129103</v>
      </c>
      <c r="X108" s="14"/>
      <c r="Y108" s="14">
        <v>0</v>
      </c>
      <c r="Z108" s="14"/>
      <c r="AA108" s="14">
        <v>0</v>
      </c>
      <c r="AB108" s="14"/>
      <c r="AC108" s="14">
        <v>0</v>
      </c>
      <c r="AD108" s="3" t="s">
        <v>268</v>
      </c>
      <c r="AF108" s="13" t="s">
        <v>195</v>
      </c>
      <c r="AG108" s="14"/>
      <c r="AH108" s="14">
        <v>0</v>
      </c>
      <c r="AI108" s="14"/>
      <c r="AJ108" s="14">
        <v>0</v>
      </c>
      <c r="AK108" s="14"/>
      <c r="AL108" s="14"/>
      <c r="AM108" s="14"/>
      <c r="AN108" s="14">
        <v>0</v>
      </c>
      <c r="AO108" s="14"/>
      <c r="AP108" s="14">
        <v>0</v>
      </c>
      <c r="AQ108" s="14"/>
      <c r="AR108" s="21">
        <f t="shared" si="10"/>
        <v>129103</v>
      </c>
      <c r="AS108" s="14"/>
      <c r="AT108" s="21">
        <f t="shared" si="11"/>
        <v>18777665</v>
      </c>
    </row>
    <row r="109" spans="1:46" s="13" customFormat="1">
      <c r="A109" s="13" t="s">
        <v>305</v>
      </c>
      <c r="C109" s="13" t="s">
        <v>162</v>
      </c>
      <c r="E109" s="14">
        <v>0</v>
      </c>
      <c r="F109" s="14"/>
      <c r="G109" s="14">
        <f>1303+2775913+263189</f>
        <v>3040405</v>
      </c>
      <c r="H109" s="14"/>
      <c r="I109" s="14">
        <v>13870</v>
      </c>
      <c r="J109" s="14"/>
      <c r="K109" s="14">
        <f>16454301+255132+7150</f>
        <v>16716583</v>
      </c>
      <c r="L109" s="14"/>
      <c r="M109" s="14">
        <v>6309</v>
      </c>
      <c r="N109" s="14"/>
      <c r="O109" s="14">
        <v>0</v>
      </c>
      <c r="P109" s="14"/>
      <c r="Q109" s="14">
        <v>11850</v>
      </c>
      <c r="R109" s="14"/>
      <c r="S109" s="14">
        <v>51296</v>
      </c>
      <c r="T109" s="14"/>
      <c r="U109" s="21">
        <f t="shared" si="9"/>
        <v>19840313</v>
      </c>
      <c r="V109" s="14"/>
      <c r="W109" s="14">
        <v>0</v>
      </c>
      <c r="X109" s="14"/>
      <c r="Y109" s="14">
        <v>0</v>
      </c>
      <c r="Z109" s="14"/>
      <c r="AA109" s="14">
        <v>0</v>
      </c>
      <c r="AB109" s="14"/>
      <c r="AC109" s="14">
        <v>0</v>
      </c>
      <c r="AD109" s="13" t="s">
        <v>305</v>
      </c>
      <c r="AF109" s="13" t="s">
        <v>162</v>
      </c>
      <c r="AG109" s="14"/>
      <c r="AH109" s="14">
        <v>0</v>
      </c>
      <c r="AI109" s="14"/>
      <c r="AJ109" s="14">
        <v>0</v>
      </c>
      <c r="AK109" s="14"/>
      <c r="AL109" s="14"/>
      <c r="AM109" s="14"/>
      <c r="AN109" s="14">
        <v>0</v>
      </c>
      <c r="AO109" s="14"/>
      <c r="AP109" s="14">
        <v>0</v>
      </c>
      <c r="AQ109" s="14"/>
      <c r="AR109" s="21">
        <f t="shared" si="10"/>
        <v>0</v>
      </c>
      <c r="AS109" s="14"/>
      <c r="AT109" s="21">
        <f t="shared" si="11"/>
        <v>19840313</v>
      </c>
    </row>
    <row r="110" spans="1:46" s="13" customFormat="1">
      <c r="A110" s="3" t="s">
        <v>165</v>
      </c>
      <c r="C110" s="3" t="s">
        <v>327</v>
      </c>
      <c r="E110" s="14">
        <v>0</v>
      </c>
      <c r="F110" s="14"/>
      <c r="G110" s="14">
        <v>8094064</v>
      </c>
      <c r="H110" s="14"/>
      <c r="I110" s="14">
        <v>6131</v>
      </c>
      <c r="J110" s="14"/>
      <c r="K110" s="14">
        <f>16756622+524945+200964</f>
        <v>17482531</v>
      </c>
      <c r="L110" s="14"/>
      <c r="M110" s="14">
        <v>0</v>
      </c>
      <c r="N110" s="14"/>
      <c r="O110" s="14">
        <v>0</v>
      </c>
      <c r="P110" s="14"/>
      <c r="Q110" s="14">
        <v>21433</v>
      </c>
      <c r="R110" s="14"/>
      <c r="S110" s="14">
        <v>61483</v>
      </c>
      <c r="T110" s="14"/>
      <c r="U110" s="21">
        <f t="shared" si="9"/>
        <v>25665642</v>
      </c>
      <c r="V110" s="14"/>
      <c r="W110" s="14">
        <v>0</v>
      </c>
      <c r="X110" s="14"/>
      <c r="Y110" s="14">
        <v>0</v>
      </c>
      <c r="Z110" s="14"/>
      <c r="AA110" s="14">
        <v>0</v>
      </c>
      <c r="AB110" s="14"/>
      <c r="AC110" s="14">
        <v>0</v>
      </c>
      <c r="AD110" s="3" t="s">
        <v>165</v>
      </c>
      <c r="AF110" s="3" t="s">
        <v>327</v>
      </c>
      <c r="AG110" s="14"/>
      <c r="AH110" s="14">
        <v>0</v>
      </c>
      <c r="AI110" s="14"/>
      <c r="AJ110" s="14">
        <v>0</v>
      </c>
      <c r="AK110" s="14"/>
      <c r="AL110" s="14"/>
      <c r="AM110" s="14"/>
      <c r="AN110" s="14">
        <v>0</v>
      </c>
      <c r="AO110" s="14"/>
      <c r="AP110" s="14">
        <v>0</v>
      </c>
      <c r="AQ110" s="14"/>
      <c r="AR110" s="21">
        <f t="shared" si="10"/>
        <v>0</v>
      </c>
      <c r="AS110" s="14"/>
      <c r="AT110" s="21">
        <f t="shared" si="11"/>
        <v>25665642</v>
      </c>
    </row>
    <row r="111" spans="1:46" s="13" customFormat="1">
      <c r="A111" s="3" t="s">
        <v>314</v>
      </c>
      <c r="C111" s="3" t="s">
        <v>262</v>
      </c>
      <c r="E111" s="14">
        <v>0</v>
      </c>
      <c r="F111" s="14"/>
      <c r="G111" s="14">
        <v>2717988</v>
      </c>
      <c r="H111" s="14"/>
      <c r="I111" s="14">
        <v>2678</v>
      </c>
      <c r="J111" s="14"/>
      <c r="K111" s="14">
        <f>759897+7863+4843795</f>
        <v>5611555</v>
      </c>
      <c r="L111" s="14"/>
      <c r="M111" s="14">
        <v>0</v>
      </c>
      <c r="N111" s="14"/>
      <c r="O111" s="14">
        <v>0</v>
      </c>
      <c r="P111" s="14"/>
      <c r="Q111" s="14">
        <v>2754</v>
      </c>
      <c r="R111" s="14"/>
      <c r="S111" s="14">
        <v>3275</v>
      </c>
      <c r="T111" s="14"/>
      <c r="U111" s="21">
        <f t="shared" si="9"/>
        <v>8338250</v>
      </c>
      <c r="V111" s="14"/>
      <c r="W111" s="14">
        <v>30448</v>
      </c>
      <c r="X111" s="14"/>
      <c r="Y111" s="14">
        <v>0</v>
      </c>
      <c r="Z111" s="14"/>
      <c r="AA111" s="14">
        <v>0</v>
      </c>
      <c r="AB111" s="14"/>
      <c r="AC111" s="14">
        <v>0</v>
      </c>
      <c r="AD111" s="3" t="s">
        <v>314</v>
      </c>
      <c r="AF111" s="3" t="s">
        <v>262</v>
      </c>
      <c r="AG111" s="14"/>
      <c r="AH111" s="14">
        <v>0</v>
      </c>
      <c r="AI111" s="14"/>
      <c r="AJ111" s="14">
        <v>0</v>
      </c>
      <c r="AK111" s="14"/>
      <c r="AL111" s="14"/>
      <c r="AM111" s="14"/>
      <c r="AN111" s="14">
        <v>0</v>
      </c>
      <c r="AO111" s="14"/>
      <c r="AP111" s="14">
        <v>0</v>
      </c>
      <c r="AQ111" s="14"/>
      <c r="AR111" s="21">
        <f t="shared" si="10"/>
        <v>30448</v>
      </c>
      <c r="AS111" s="14"/>
      <c r="AT111" s="21">
        <f t="shared" si="11"/>
        <v>8368698</v>
      </c>
    </row>
    <row r="112" spans="1:46" s="13" customFormat="1" hidden="1">
      <c r="A112" s="3" t="s">
        <v>364</v>
      </c>
      <c r="C112" s="13" t="s">
        <v>186</v>
      </c>
      <c r="E112" s="14">
        <v>0</v>
      </c>
      <c r="F112" s="14"/>
      <c r="G112" s="14">
        <v>0</v>
      </c>
      <c r="H112" s="14"/>
      <c r="I112" s="14">
        <v>0</v>
      </c>
      <c r="J112" s="14"/>
      <c r="K112" s="14">
        <v>0</v>
      </c>
      <c r="L112" s="14"/>
      <c r="M112" s="14">
        <v>0</v>
      </c>
      <c r="N112" s="14"/>
      <c r="O112" s="14">
        <v>0</v>
      </c>
      <c r="P112" s="14"/>
      <c r="Q112" s="14">
        <v>0</v>
      </c>
      <c r="R112" s="14"/>
      <c r="S112" s="14">
        <v>0</v>
      </c>
      <c r="T112" s="14"/>
      <c r="U112" s="21">
        <f t="shared" si="9"/>
        <v>0</v>
      </c>
      <c r="V112" s="14"/>
      <c r="W112" s="14">
        <v>0</v>
      </c>
      <c r="X112" s="14"/>
      <c r="Y112" s="14">
        <v>0</v>
      </c>
      <c r="Z112" s="14"/>
      <c r="AA112" s="14">
        <v>0</v>
      </c>
      <c r="AB112" s="14"/>
      <c r="AC112" s="14">
        <v>0</v>
      </c>
      <c r="AD112" s="3" t="s">
        <v>364</v>
      </c>
      <c r="AF112" s="13" t="s">
        <v>186</v>
      </c>
      <c r="AG112" s="14"/>
      <c r="AH112" s="14">
        <v>0</v>
      </c>
      <c r="AI112" s="14"/>
      <c r="AJ112" s="14">
        <v>0</v>
      </c>
      <c r="AK112" s="14"/>
      <c r="AL112" s="14"/>
      <c r="AM112" s="14"/>
      <c r="AN112" s="14">
        <v>0</v>
      </c>
      <c r="AO112" s="14"/>
      <c r="AP112" s="14">
        <v>0</v>
      </c>
      <c r="AQ112" s="14"/>
      <c r="AR112" s="21">
        <f t="shared" si="10"/>
        <v>0</v>
      </c>
      <c r="AS112" s="14"/>
      <c r="AT112" s="21">
        <f t="shared" si="11"/>
        <v>0</v>
      </c>
    </row>
    <row r="113" spans="1:46" s="13" customFormat="1">
      <c r="A113" s="3" t="s">
        <v>338</v>
      </c>
      <c r="C113" s="13" t="s">
        <v>187</v>
      </c>
      <c r="E113" s="14">
        <v>0</v>
      </c>
      <c r="F113" s="14"/>
      <c r="G113" s="14">
        <v>1016871</v>
      </c>
      <c r="H113" s="14"/>
      <c r="I113" s="14">
        <v>0</v>
      </c>
      <c r="J113" s="14"/>
      <c r="K113" s="14">
        <f>2958096+50035+5525</f>
        <v>3013656</v>
      </c>
      <c r="L113" s="14"/>
      <c r="M113" s="14">
        <v>0</v>
      </c>
      <c r="N113" s="14"/>
      <c r="O113" s="14">
        <v>0</v>
      </c>
      <c r="P113" s="14"/>
      <c r="Q113" s="14">
        <v>9961</v>
      </c>
      <c r="R113" s="14"/>
      <c r="S113" s="14">
        <v>34334</v>
      </c>
      <c r="T113" s="14"/>
      <c r="U113" s="21">
        <f t="shared" si="9"/>
        <v>4074822</v>
      </c>
      <c r="V113" s="14"/>
      <c r="W113" s="14">
        <v>59</v>
      </c>
      <c r="X113" s="14"/>
      <c r="Y113" s="14">
        <v>0</v>
      </c>
      <c r="Z113" s="14"/>
      <c r="AA113" s="14">
        <v>0</v>
      </c>
      <c r="AB113" s="14"/>
      <c r="AC113" s="14">
        <v>0</v>
      </c>
      <c r="AD113" s="3" t="s">
        <v>338</v>
      </c>
      <c r="AF113" s="13" t="s">
        <v>187</v>
      </c>
      <c r="AG113" s="14"/>
      <c r="AH113" s="14">
        <v>0</v>
      </c>
      <c r="AI113" s="14"/>
      <c r="AJ113" s="14">
        <v>0</v>
      </c>
      <c r="AK113" s="14"/>
      <c r="AL113" s="14"/>
      <c r="AM113" s="14"/>
      <c r="AN113" s="14">
        <v>0</v>
      </c>
      <c r="AO113" s="14"/>
      <c r="AP113" s="14">
        <v>0</v>
      </c>
      <c r="AQ113" s="14"/>
      <c r="AR113" s="21">
        <f t="shared" si="10"/>
        <v>59</v>
      </c>
      <c r="AS113" s="14"/>
      <c r="AT113" s="21">
        <f t="shared" si="11"/>
        <v>4074881</v>
      </c>
    </row>
    <row r="114" spans="1:46" s="13" customFormat="1">
      <c r="A114" s="3" t="s">
        <v>329</v>
      </c>
      <c r="C114" s="13" t="s">
        <v>188</v>
      </c>
      <c r="E114" s="14">
        <v>0</v>
      </c>
      <c r="F114" s="14"/>
      <c r="G114" s="14">
        <v>1371182</v>
      </c>
      <c r="H114" s="14"/>
      <c r="I114" s="14">
        <v>333</v>
      </c>
      <c r="J114" s="14"/>
      <c r="K114" s="14">
        <f>4693447+1427345</f>
        <v>6120792</v>
      </c>
      <c r="L114" s="14"/>
      <c r="M114" s="14">
        <v>0</v>
      </c>
      <c r="N114" s="14"/>
      <c r="O114" s="14">
        <v>0</v>
      </c>
      <c r="P114" s="14"/>
      <c r="Q114" s="14">
        <v>1350</v>
      </c>
      <c r="R114" s="14"/>
      <c r="S114" s="14">
        <v>18602</v>
      </c>
      <c r="T114" s="14"/>
      <c r="U114" s="21">
        <f t="shared" si="9"/>
        <v>7512259</v>
      </c>
      <c r="V114" s="14"/>
      <c r="W114" s="14">
        <v>0</v>
      </c>
      <c r="X114" s="14"/>
      <c r="Y114" s="14">
        <v>0</v>
      </c>
      <c r="Z114" s="14"/>
      <c r="AA114" s="14">
        <v>0</v>
      </c>
      <c r="AB114" s="14"/>
      <c r="AC114" s="14">
        <v>0</v>
      </c>
      <c r="AD114" s="3" t="s">
        <v>329</v>
      </c>
      <c r="AF114" s="13" t="s">
        <v>188</v>
      </c>
      <c r="AG114" s="14"/>
      <c r="AH114" s="14">
        <v>37945</v>
      </c>
      <c r="AI114" s="14"/>
      <c r="AJ114" s="14">
        <v>0</v>
      </c>
      <c r="AK114" s="14"/>
      <c r="AL114" s="14"/>
      <c r="AM114" s="14"/>
      <c r="AN114" s="14">
        <v>0</v>
      </c>
      <c r="AO114" s="14"/>
      <c r="AP114" s="14">
        <v>0</v>
      </c>
      <c r="AQ114" s="14"/>
      <c r="AR114" s="21">
        <f t="shared" si="10"/>
        <v>37945</v>
      </c>
      <c r="AS114" s="14"/>
      <c r="AT114" s="21">
        <f t="shared" si="11"/>
        <v>7550204</v>
      </c>
    </row>
    <row r="115" spans="1:46" s="13" customFormat="1" hidden="1">
      <c r="A115" s="13" t="s">
        <v>330</v>
      </c>
      <c r="C115" s="13" t="s">
        <v>189</v>
      </c>
      <c r="E115" s="14">
        <v>0</v>
      </c>
      <c r="F115" s="14"/>
      <c r="G115" s="14">
        <v>0</v>
      </c>
      <c r="H115" s="14"/>
      <c r="I115" s="14">
        <v>0</v>
      </c>
      <c r="J115" s="14"/>
      <c r="K115" s="14">
        <v>0</v>
      </c>
      <c r="L115" s="14"/>
      <c r="M115" s="14">
        <v>0</v>
      </c>
      <c r="N115" s="14"/>
      <c r="O115" s="14">
        <v>0</v>
      </c>
      <c r="P115" s="14"/>
      <c r="Q115" s="14">
        <v>0</v>
      </c>
      <c r="R115" s="14"/>
      <c r="S115" s="14">
        <v>0</v>
      </c>
      <c r="T115" s="14"/>
      <c r="U115" s="21">
        <f t="shared" si="9"/>
        <v>0</v>
      </c>
      <c r="V115" s="14"/>
      <c r="W115" s="14">
        <v>0</v>
      </c>
      <c r="X115" s="14"/>
      <c r="Y115" s="14">
        <v>0</v>
      </c>
      <c r="Z115" s="14"/>
      <c r="AA115" s="14">
        <v>0</v>
      </c>
      <c r="AB115" s="14"/>
      <c r="AC115" s="14">
        <v>0</v>
      </c>
      <c r="AD115" s="13" t="s">
        <v>330</v>
      </c>
      <c r="AF115" s="13" t="s">
        <v>189</v>
      </c>
      <c r="AG115" s="14"/>
      <c r="AH115" s="14">
        <v>0</v>
      </c>
      <c r="AI115" s="14"/>
      <c r="AJ115" s="14">
        <v>0</v>
      </c>
      <c r="AK115" s="14"/>
      <c r="AL115" s="14"/>
      <c r="AM115" s="14"/>
      <c r="AN115" s="14">
        <v>0</v>
      </c>
      <c r="AO115" s="14"/>
      <c r="AP115" s="14">
        <v>0</v>
      </c>
      <c r="AQ115" s="14"/>
      <c r="AR115" s="21">
        <f t="shared" si="10"/>
        <v>0</v>
      </c>
      <c r="AS115" s="14"/>
      <c r="AT115" s="21">
        <f t="shared" si="11"/>
        <v>0</v>
      </c>
    </row>
    <row r="116" spans="1:46" s="13" customFormat="1">
      <c r="A116" s="3" t="s">
        <v>331</v>
      </c>
      <c r="C116" s="13" t="s">
        <v>190</v>
      </c>
      <c r="E116" s="14">
        <v>0</v>
      </c>
      <c r="F116" s="14"/>
      <c r="G116" s="14">
        <f>426994+1003040+2718474</f>
        <v>4148508</v>
      </c>
      <c r="H116" s="14"/>
      <c r="I116" s="14">
        <v>10303</v>
      </c>
      <c r="J116" s="14"/>
      <c r="K116" s="14">
        <f>1853583+41061+176032</f>
        <v>2070676</v>
      </c>
      <c r="L116" s="14"/>
      <c r="M116" s="14">
        <v>0</v>
      </c>
      <c r="N116" s="14"/>
      <c r="O116" s="14">
        <v>0</v>
      </c>
      <c r="P116" s="14"/>
      <c r="Q116" s="14">
        <v>0</v>
      </c>
      <c r="R116" s="14"/>
      <c r="S116" s="14">
        <v>20163</v>
      </c>
      <c r="T116" s="14"/>
      <c r="U116" s="21">
        <f t="shared" si="9"/>
        <v>6249650</v>
      </c>
      <c r="V116" s="14"/>
      <c r="W116" s="14">
        <v>0</v>
      </c>
      <c r="X116" s="14"/>
      <c r="Y116" s="14">
        <v>0</v>
      </c>
      <c r="Z116" s="14"/>
      <c r="AA116" s="14">
        <v>0</v>
      </c>
      <c r="AB116" s="14"/>
      <c r="AC116" s="14">
        <v>0</v>
      </c>
      <c r="AD116" s="3" t="s">
        <v>331</v>
      </c>
      <c r="AF116" s="13" t="s">
        <v>190</v>
      </c>
      <c r="AG116" s="14"/>
      <c r="AH116" s="14">
        <v>62180</v>
      </c>
      <c r="AI116" s="14"/>
      <c r="AJ116" s="14">
        <v>0</v>
      </c>
      <c r="AK116" s="14"/>
      <c r="AL116" s="14"/>
      <c r="AM116" s="14"/>
      <c r="AN116" s="14">
        <v>0</v>
      </c>
      <c r="AO116" s="14"/>
      <c r="AP116" s="14">
        <v>0</v>
      </c>
      <c r="AQ116" s="14"/>
      <c r="AR116" s="21">
        <f t="shared" si="10"/>
        <v>62180</v>
      </c>
      <c r="AS116" s="14"/>
      <c r="AT116" s="21">
        <f t="shared" si="11"/>
        <v>6311830</v>
      </c>
    </row>
    <row r="117" spans="1:46" s="13" customFormat="1">
      <c r="A117" s="3" t="s">
        <v>332</v>
      </c>
      <c r="C117" s="13" t="s">
        <v>192</v>
      </c>
      <c r="E117" s="14">
        <v>0</v>
      </c>
      <c r="F117" s="14"/>
      <c r="G117" s="14">
        <v>3169660</v>
      </c>
      <c r="H117" s="14"/>
      <c r="I117" s="14">
        <v>14333</v>
      </c>
      <c r="J117" s="14"/>
      <c r="K117" s="14">
        <f>5570050+321343+35821</f>
        <v>5927214</v>
      </c>
      <c r="L117" s="14"/>
      <c r="M117" s="14">
        <v>0</v>
      </c>
      <c r="N117" s="14"/>
      <c r="O117" s="14">
        <v>0</v>
      </c>
      <c r="P117" s="14"/>
      <c r="Q117" s="14">
        <v>1200</v>
      </c>
      <c r="R117" s="14"/>
      <c r="S117" s="14">
        <v>225245</v>
      </c>
      <c r="T117" s="14"/>
      <c r="U117" s="21">
        <f t="shared" si="9"/>
        <v>9337652</v>
      </c>
      <c r="V117" s="14"/>
      <c r="W117" s="14">
        <v>0</v>
      </c>
      <c r="X117" s="14"/>
      <c r="Y117" s="14">
        <v>0</v>
      </c>
      <c r="Z117" s="14"/>
      <c r="AA117" s="14">
        <v>0</v>
      </c>
      <c r="AB117" s="14"/>
      <c r="AC117" s="14">
        <v>0</v>
      </c>
      <c r="AD117" s="3" t="s">
        <v>332</v>
      </c>
      <c r="AF117" s="13" t="s">
        <v>192</v>
      </c>
      <c r="AG117" s="14"/>
      <c r="AH117" s="14">
        <v>0</v>
      </c>
      <c r="AI117" s="14"/>
      <c r="AJ117" s="14">
        <v>0</v>
      </c>
      <c r="AK117" s="14"/>
      <c r="AL117" s="14"/>
      <c r="AM117" s="14"/>
      <c r="AN117" s="14">
        <v>0</v>
      </c>
      <c r="AO117" s="14"/>
      <c r="AP117" s="14">
        <v>0</v>
      </c>
      <c r="AQ117" s="14"/>
      <c r="AR117" s="21">
        <f t="shared" si="10"/>
        <v>0</v>
      </c>
      <c r="AS117" s="14"/>
      <c r="AT117" s="21">
        <f t="shared" si="11"/>
        <v>9337652</v>
      </c>
    </row>
    <row r="118" spans="1:46" s="13" customFormat="1" hidden="1">
      <c r="A118" s="3" t="s">
        <v>306</v>
      </c>
      <c r="C118" s="13" t="s">
        <v>193</v>
      </c>
      <c r="E118" s="14">
        <v>0</v>
      </c>
      <c r="F118" s="14"/>
      <c r="G118" s="14">
        <v>0</v>
      </c>
      <c r="H118" s="14"/>
      <c r="I118" s="14">
        <v>0</v>
      </c>
      <c r="J118" s="14"/>
      <c r="K118" s="14">
        <v>0</v>
      </c>
      <c r="L118" s="14"/>
      <c r="M118" s="14">
        <v>0</v>
      </c>
      <c r="N118" s="14"/>
      <c r="O118" s="14">
        <v>0</v>
      </c>
      <c r="P118" s="14"/>
      <c r="Q118" s="14">
        <v>0</v>
      </c>
      <c r="R118" s="14"/>
      <c r="S118" s="14">
        <v>0</v>
      </c>
      <c r="T118" s="14"/>
      <c r="U118" s="21">
        <f t="shared" si="9"/>
        <v>0</v>
      </c>
      <c r="V118" s="14"/>
      <c r="W118" s="14">
        <v>0</v>
      </c>
      <c r="X118" s="14"/>
      <c r="Y118" s="14">
        <v>0</v>
      </c>
      <c r="Z118" s="14"/>
      <c r="AA118" s="14">
        <v>0</v>
      </c>
      <c r="AB118" s="14"/>
      <c r="AC118" s="14">
        <v>0</v>
      </c>
      <c r="AD118" s="3" t="s">
        <v>306</v>
      </c>
      <c r="AF118" s="13" t="s">
        <v>193</v>
      </c>
      <c r="AG118" s="14"/>
      <c r="AH118" s="14">
        <v>0</v>
      </c>
      <c r="AI118" s="14"/>
      <c r="AJ118" s="14">
        <v>0</v>
      </c>
      <c r="AK118" s="14"/>
      <c r="AL118" s="14"/>
      <c r="AM118" s="14"/>
      <c r="AN118" s="14">
        <v>0</v>
      </c>
      <c r="AO118" s="14"/>
      <c r="AP118" s="14">
        <v>0</v>
      </c>
      <c r="AQ118" s="14"/>
      <c r="AR118" s="21">
        <f t="shared" si="10"/>
        <v>0</v>
      </c>
      <c r="AS118" s="14"/>
      <c r="AT118" s="21">
        <f t="shared" si="11"/>
        <v>0</v>
      </c>
    </row>
    <row r="119" spans="1:46" s="13" customFormat="1" hidden="1">
      <c r="A119" s="3" t="s">
        <v>376</v>
      </c>
      <c r="C119" s="13" t="s">
        <v>196</v>
      </c>
      <c r="E119" s="14">
        <v>0</v>
      </c>
      <c r="F119" s="14"/>
      <c r="G119" s="14">
        <v>0</v>
      </c>
      <c r="H119" s="14"/>
      <c r="I119" s="14">
        <v>0</v>
      </c>
      <c r="J119" s="14"/>
      <c r="K119" s="14">
        <v>0</v>
      </c>
      <c r="L119" s="14"/>
      <c r="M119" s="14">
        <v>0</v>
      </c>
      <c r="N119" s="14"/>
      <c r="O119" s="14">
        <v>0</v>
      </c>
      <c r="P119" s="14"/>
      <c r="Q119" s="14">
        <v>0</v>
      </c>
      <c r="R119" s="14"/>
      <c r="S119" s="14">
        <v>0</v>
      </c>
      <c r="T119" s="14"/>
      <c r="U119" s="21">
        <f t="shared" si="9"/>
        <v>0</v>
      </c>
      <c r="V119" s="14"/>
      <c r="W119" s="14">
        <v>0</v>
      </c>
      <c r="X119" s="14"/>
      <c r="Y119" s="14">
        <v>0</v>
      </c>
      <c r="Z119" s="14"/>
      <c r="AA119" s="14">
        <v>0</v>
      </c>
      <c r="AB119" s="14"/>
      <c r="AC119" s="14">
        <v>0</v>
      </c>
      <c r="AD119" s="3" t="s">
        <v>376</v>
      </c>
      <c r="AF119" s="13" t="s">
        <v>196</v>
      </c>
      <c r="AG119" s="14"/>
      <c r="AH119" s="14">
        <v>0</v>
      </c>
      <c r="AI119" s="14"/>
      <c r="AJ119" s="14">
        <v>0</v>
      </c>
      <c r="AK119" s="14"/>
      <c r="AL119" s="14">
        <v>0</v>
      </c>
      <c r="AM119" s="14"/>
      <c r="AN119" s="14">
        <v>0</v>
      </c>
      <c r="AO119" s="14"/>
      <c r="AP119" s="14">
        <v>0</v>
      </c>
      <c r="AQ119" s="14"/>
      <c r="AR119" s="21">
        <f t="shared" si="10"/>
        <v>0</v>
      </c>
      <c r="AS119" s="14"/>
      <c r="AT119" s="21">
        <f t="shared" si="11"/>
        <v>0</v>
      </c>
    </row>
    <row r="120" spans="1:46" s="13" customFormat="1">
      <c r="A120" s="3" t="s">
        <v>266</v>
      </c>
      <c r="C120" s="13" t="s">
        <v>194</v>
      </c>
      <c r="E120" s="14">
        <v>0</v>
      </c>
      <c r="F120" s="14"/>
      <c r="G120" s="14">
        <v>2059865</v>
      </c>
      <c r="H120" s="14"/>
      <c r="I120" s="14">
        <v>9764</v>
      </c>
      <c r="J120" s="14"/>
      <c r="K120" s="14">
        <f>5904122+1265275</f>
        <v>7169397</v>
      </c>
      <c r="L120" s="14"/>
      <c r="M120" s="14">
        <v>0</v>
      </c>
      <c r="N120" s="14"/>
      <c r="O120" s="14">
        <v>0</v>
      </c>
      <c r="P120" s="14"/>
      <c r="Q120" s="14">
        <v>26278</v>
      </c>
      <c r="R120" s="14"/>
      <c r="S120" s="14">
        <v>380</v>
      </c>
      <c r="T120" s="14"/>
      <c r="U120" s="21">
        <f t="shared" si="9"/>
        <v>9265684</v>
      </c>
      <c r="V120" s="14"/>
      <c r="W120" s="14">
        <v>0</v>
      </c>
      <c r="X120" s="14"/>
      <c r="Y120" s="14">
        <v>0</v>
      </c>
      <c r="Z120" s="14"/>
      <c r="AA120" s="14">
        <v>0</v>
      </c>
      <c r="AB120" s="14"/>
      <c r="AC120" s="14">
        <v>0</v>
      </c>
      <c r="AD120" s="3" t="s">
        <v>266</v>
      </c>
      <c r="AF120" s="13" t="s">
        <v>194</v>
      </c>
      <c r="AG120" s="14"/>
      <c r="AH120" s="14">
        <v>0</v>
      </c>
      <c r="AI120" s="14"/>
      <c r="AJ120" s="14">
        <v>0</v>
      </c>
      <c r="AK120" s="14"/>
      <c r="AL120" s="14">
        <v>0</v>
      </c>
      <c r="AM120" s="14"/>
      <c r="AN120" s="14">
        <v>0</v>
      </c>
      <c r="AO120" s="14"/>
      <c r="AP120" s="14">
        <v>0</v>
      </c>
      <c r="AQ120" s="14"/>
      <c r="AR120" s="21">
        <f t="shared" si="10"/>
        <v>0</v>
      </c>
      <c r="AS120" s="14"/>
      <c r="AT120" s="21">
        <f t="shared" si="11"/>
        <v>9265684</v>
      </c>
    </row>
    <row r="121" spans="1:46" s="13" customFormat="1">
      <c r="A121" s="3" t="s">
        <v>265</v>
      </c>
      <c r="B121" s="3"/>
      <c r="C121" s="3" t="s">
        <v>157</v>
      </c>
      <c r="E121" s="14">
        <v>0</v>
      </c>
      <c r="F121" s="14"/>
      <c r="G121" s="14">
        <v>1184071</v>
      </c>
      <c r="H121" s="14"/>
      <c r="I121" s="14">
        <v>101920</v>
      </c>
      <c r="J121" s="14"/>
      <c r="K121" s="14">
        <f>2006215+187581</f>
        <v>2193796</v>
      </c>
      <c r="L121" s="14"/>
      <c r="M121" s="14">
        <v>0</v>
      </c>
      <c r="N121" s="14"/>
      <c r="O121" s="14">
        <v>0</v>
      </c>
      <c r="P121" s="14"/>
      <c r="Q121" s="14">
        <v>0</v>
      </c>
      <c r="R121" s="14"/>
      <c r="S121" s="14">
        <v>61507</v>
      </c>
      <c r="T121" s="14"/>
      <c r="U121" s="21">
        <f t="shared" si="9"/>
        <v>3541294</v>
      </c>
      <c r="V121" s="14"/>
      <c r="W121" s="14">
        <v>233917</v>
      </c>
      <c r="X121" s="14"/>
      <c r="Y121" s="14">
        <v>0</v>
      </c>
      <c r="Z121" s="14"/>
      <c r="AA121" s="14">
        <v>0</v>
      </c>
      <c r="AB121" s="14"/>
      <c r="AC121" s="14">
        <v>0</v>
      </c>
      <c r="AD121" s="3" t="s">
        <v>265</v>
      </c>
      <c r="AE121" s="3"/>
      <c r="AF121" s="3" t="s">
        <v>157</v>
      </c>
      <c r="AG121" s="14"/>
      <c r="AH121" s="14">
        <v>0</v>
      </c>
      <c r="AI121" s="14"/>
      <c r="AJ121" s="14">
        <v>0</v>
      </c>
      <c r="AK121" s="14"/>
      <c r="AL121" s="14">
        <v>0</v>
      </c>
      <c r="AM121" s="14"/>
      <c r="AN121" s="14">
        <v>0</v>
      </c>
      <c r="AO121" s="14"/>
      <c r="AP121" s="14">
        <v>0</v>
      </c>
      <c r="AQ121" s="14"/>
      <c r="AR121" s="21">
        <f t="shared" si="10"/>
        <v>233917</v>
      </c>
      <c r="AS121" s="14"/>
      <c r="AT121" s="21">
        <f t="shared" si="11"/>
        <v>3775211</v>
      </c>
    </row>
    <row r="122" spans="1:46" s="13" customFormat="1">
      <c r="A122" s="13" t="s">
        <v>336</v>
      </c>
      <c r="C122" s="13" t="s">
        <v>197</v>
      </c>
      <c r="E122" s="14">
        <v>0</v>
      </c>
      <c r="F122" s="14"/>
      <c r="G122" s="14">
        <f>181928+3671506+1916069</f>
        <v>5769503</v>
      </c>
      <c r="H122" s="14"/>
      <c r="I122" s="14">
        <v>23822</v>
      </c>
      <c r="J122" s="14"/>
      <c r="K122" s="14">
        <f>8146418+21780+4984061+26598</f>
        <v>13178857</v>
      </c>
      <c r="L122" s="14"/>
      <c r="M122" s="14">
        <v>0</v>
      </c>
      <c r="N122" s="14"/>
      <c r="O122" s="14">
        <v>0</v>
      </c>
      <c r="P122" s="14"/>
      <c r="Q122" s="14">
        <v>18894</v>
      </c>
      <c r="R122" s="14"/>
      <c r="S122" s="14">
        <v>164876</v>
      </c>
      <c r="T122" s="14"/>
      <c r="U122" s="21">
        <f t="shared" si="9"/>
        <v>19155952</v>
      </c>
      <c r="V122" s="14"/>
      <c r="W122" s="14">
        <v>0</v>
      </c>
      <c r="X122" s="14"/>
      <c r="Y122" s="14">
        <v>0</v>
      </c>
      <c r="Z122" s="14"/>
      <c r="AA122" s="14">
        <v>0</v>
      </c>
      <c r="AB122" s="14"/>
      <c r="AC122" s="14">
        <v>0</v>
      </c>
      <c r="AD122" s="13" t="s">
        <v>336</v>
      </c>
      <c r="AF122" s="13" t="s">
        <v>197</v>
      </c>
      <c r="AG122" s="14"/>
      <c r="AH122" s="14">
        <v>0</v>
      </c>
      <c r="AI122" s="14"/>
      <c r="AJ122" s="14">
        <v>110</v>
      </c>
      <c r="AK122" s="14"/>
      <c r="AL122" s="14">
        <v>0</v>
      </c>
      <c r="AM122" s="14"/>
      <c r="AN122" s="14">
        <v>0</v>
      </c>
      <c r="AO122" s="14"/>
      <c r="AP122" s="14">
        <v>0</v>
      </c>
      <c r="AQ122" s="14"/>
      <c r="AR122" s="21">
        <f t="shared" si="10"/>
        <v>110</v>
      </c>
      <c r="AS122" s="14"/>
      <c r="AT122" s="21">
        <f t="shared" si="11"/>
        <v>19156062</v>
      </c>
    </row>
    <row r="123" spans="1:46" s="13" customFormat="1">
      <c r="A123" s="3" t="s">
        <v>337</v>
      </c>
      <c r="C123" s="13" t="s">
        <v>198</v>
      </c>
      <c r="E123" s="14">
        <v>0</v>
      </c>
      <c r="F123" s="14"/>
      <c r="G123" s="14">
        <v>5317018</v>
      </c>
      <c r="H123" s="14"/>
      <c r="I123" s="14">
        <v>6361</v>
      </c>
      <c r="J123" s="14"/>
      <c r="K123" s="14">
        <f>1608558+8352304</f>
        <v>9960862</v>
      </c>
      <c r="L123" s="14"/>
      <c r="M123" s="14">
        <v>0</v>
      </c>
      <c r="N123" s="14"/>
      <c r="O123" s="14">
        <v>0</v>
      </c>
      <c r="P123" s="14"/>
      <c r="Q123" s="14">
        <v>599</v>
      </c>
      <c r="R123" s="14"/>
      <c r="S123" s="14">
        <v>15207</v>
      </c>
      <c r="T123" s="14"/>
      <c r="U123" s="21">
        <f t="shared" si="9"/>
        <v>15300047</v>
      </c>
      <c r="V123" s="14"/>
      <c r="W123" s="14">
        <v>0</v>
      </c>
      <c r="X123" s="14"/>
      <c r="Y123" s="14">
        <v>0</v>
      </c>
      <c r="Z123" s="14"/>
      <c r="AA123" s="14">
        <v>0</v>
      </c>
      <c r="AB123" s="14"/>
      <c r="AC123" s="14">
        <v>0</v>
      </c>
      <c r="AD123" s="3" t="s">
        <v>337</v>
      </c>
      <c r="AF123" s="13" t="s">
        <v>198</v>
      </c>
      <c r="AG123" s="14"/>
      <c r="AH123" s="14">
        <v>0</v>
      </c>
      <c r="AI123" s="14"/>
      <c r="AJ123" s="14">
        <v>0</v>
      </c>
      <c r="AK123" s="14"/>
      <c r="AL123" s="14">
        <v>0</v>
      </c>
      <c r="AM123" s="14"/>
      <c r="AN123" s="14">
        <v>0</v>
      </c>
      <c r="AO123" s="14"/>
      <c r="AP123" s="14">
        <v>0</v>
      </c>
      <c r="AQ123" s="14"/>
      <c r="AR123" s="21">
        <f t="shared" si="10"/>
        <v>0</v>
      </c>
      <c r="AS123" s="14"/>
      <c r="AT123" s="21">
        <f t="shared" si="11"/>
        <v>15300047</v>
      </c>
    </row>
    <row r="124" spans="1:46" s="13" customFormat="1" hidden="1">
      <c r="A124" s="3" t="s">
        <v>362</v>
      </c>
      <c r="C124" s="13" t="s">
        <v>205</v>
      </c>
      <c r="E124" s="14">
        <v>0</v>
      </c>
      <c r="F124" s="14"/>
      <c r="G124" s="14">
        <v>0</v>
      </c>
      <c r="H124" s="14"/>
      <c r="I124" s="14">
        <v>0</v>
      </c>
      <c r="J124" s="14"/>
      <c r="K124" s="14">
        <v>0</v>
      </c>
      <c r="L124" s="14"/>
      <c r="M124" s="14">
        <v>0</v>
      </c>
      <c r="N124" s="14"/>
      <c r="O124" s="14">
        <v>0</v>
      </c>
      <c r="P124" s="14"/>
      <c r="Q124" s="14">
        <v>0</v>
      </c>
      <c r="R124" s="14"/>
      <c r="S124" s="14">
        <v>0</v>
      </c>
      <c r="T124" s="14"/>
      <c r="U124" s="21">
        <f t="shared" si="9"/>
        <v>0</v>
      </c>
      <c r="V124" s="14"/>
      <c r="W124" s="14">
        <v>0</v>
      </c>
      <c r="X124" s="14"/>
      <c r="Y124" s="14">
        <v>0</v>
      </c>
      <c r="Z124" s="14"/>
      <c r="AA124" s="14">
        <v>0</v>
      </c>
      <c r="AB124" s="14"/>
      <c r="AC124" s="14">
        <v>0</v>
      </c>
      <c r="AD124" s="3" t="s">
        <v>362</v>
      </c>
      <c r="AF124" s="13" t="s">
        <v>205</v>
      </c>
      <c r="AG124" s="14"/>
      <c r="AH124" s="14">
        <v>0</v>
      </c>
      <c r="AI124" s="14"/>
      <c r="AJ124" s="14">
        <v>0</v>
      </c>
      <c r="AK124" s="14"/>
      <c r="AL124" s="14">
        <v>0</v>
      </c>
      <c r="AM124" s="14"/>
      <c r="AN124" s="14">
        <v>0</v>
      </c>
      <c r="AO124" s="14"/>
      <c r="AP124" s="14">
        <v>0</v>
      </c>
      <c r="AQ124" s="14"/>
      <c r="AR124" s="21">
        <f t="shared" si="10"/>
        <v>0</v>
      </c>
      <c r="AS124" s="14"/>
      <c r="AT124" s="21">
        <f t="shared" si="11"/>
        <v>0</v>
      </c>
    </row>
    <row r="125" spans="1:46" s="13" customFormat="1">
      <c r="A125" s="3" t="s">
        <v>339</v>
      </c>
      <c r="C125" s="13" t="s">
        <v>199</v>
      </c>
      <c r="E125" s="14">
        <v>0</v>
      </c>
      <c r="F125" s="14"/>
      <c r="G125" s="14">
        <f>2167725+108445</f>
        <v>2276170</v>
      </c>
      <c r="H125" s="14"/>
      <c r="I125" s="14">
        <v>63132</v>
      </c>
      <c r="J125" s="14"/>
      <c r="K125" s="14">
        <f>14293650+23425</f>
        <v>14317075</v>
      </c>
      <c r="L125" s="14"/>
      <c r="M125" s="14">
        <v>0</v>
      </c>
      <c r="N125" s="14"/>
      <c r="O125" s="14">
        <v>0</v>
      </c>
      <c r="P125" s="14"/>
      <c r="Q125" s="14">
        <v>19379</v>
      </c>
      <c r="R125" s="14"/>
      <c r="S125" s="14">
        <v>19720</v>
      </c>
      <c r="T125" s="14"/>
      <c r="U125" s="21">
        <f t="shared" si="9"/>
        <v>16695476</v>
      </c>
      <c r="V125" s="14"/>
      <c r="W125" s="14">
        <v>0</v>
      </c>
      <c r="X125" s="14"/>
      <c r="Y125" s="14">
        <v>0</v>
      </c>
      <c r="Z125" s="14"/>
      <c r="AA125" s="14">
        <v>0</v>
      </c>
      <c r="AB125" s="14"/>
      <c r="AC125" s="14">
        <v>0</v>
      </c>
      <c r="AD125" s="3" t="s">
        <v>339</v>
      </c>
      <c r="AF125" s="13" t="s">
        <v>199</v>
      </c>
      <c r="AG125" s="14"/>
      <c r="AH125" s="14">
        <v>0</v>
      </c>
      <c r="AI125" s="14"/>
      <c r="AJ125" s="14">
        <v>0</v>
      </c>
      <c r="AK125" s="14"/>
      <c r="AL125" s="14">
        <v>0</v>
      </c>
      <c r="AM125" s="14"/>
      <c r="AN125" s="14">
        <v>0</v>
      </c>
      <c r="AO125" s="14"/>
      <c r="AP125" s="14">
        <v>0</v>
      </c>
      <c r="AQ125" s="14"/>
      <c r="AR125" s="21">
        <f t="shared" si="10"/>
        <v>0</v>
      </c>
      <c r="AS125" s="14"/>
      <c r="AT125" s="21">
        <f t="shared" si="11"/>
        <v>16695476</v>
      </c>
    </row>
    <row r="126" spans="1:46" s="13" customFormat="1" hidden="1">
      <c r="A126" s="3" t="s">
        <v>307</v>
      </c>
      <c r="C126" s="13" t="s">
        <v>200</v>
      </c>
      <c r="E126" s="14">
        <v>0</v>
      </c>
      <c r="F126" s="14"/>
      <c r="G126" s="14">
        <v>0</v>
      </c>
      <c r="H126" s="14"/>
      <c r="I126" s="14">
        <v>0</v>
      </c>
      <c r="J126" s="14"/>
      <c r="K126" s="14">
        <v>0</v>
      </c>
      <c r="L126" s="14"/>
      <c r="M126" s="14">
        <v>0</v>
      </c>
      <c r="N126" s="14"/>
      <c r="O126" s="14">
        <v>0</v>
      </c>
      <c r="P126" s="14"/>
      <c r="Q126" s="14">
        <v>0</v>
      </c>
      <c r="R126" s="14"/>
      <c r="S126" s="14">
        <v>0</v>
      </c>
      <c r="T126" s="14"/>
      <c r="U126" s="21">
        <f t="shared" si="9"/>
        <v>0</v>
      </c>
      <c r="V126" s="14"/>
      <c r="W126" s="14">
        <v>0</v>
      </c>
      <c r="X126" s="14"/>
      <c r="Y126" s="14">
        <v>0</v>
      </c>
      <c r="Z126" s="14"/>
      <c r="AA126" s="14">
        <v>0</v>
      </c>
      <c r="AB126" s="14"/>
      <c r="AC126" s="14"/>
      <c r="AD126" s="3" t="s">
        <v>307</v>
      </c>
      <c r="AF126" s="13" t="s">
        <v>200</v>
      </c>
      <c r="AG126" s="14"/>
      <c r="AH126" s="14">
        <v>0</v>
      </c>
      <c r="AI126" s="14"/>
      <c r="AJ126" s="14">
        <v>0</v>
      </c>
      <c r="AK126" s="14"/>
      <c r="AL126" s="14"/>
      <c r="AM126" s="14"/>
      <c r="AN126" s="14">
        <v>0</v>
      </c>
      <c r="AO126" s="14"/>
      <c r="AP126" s="14">
        <v>0</v>
      </c>
      <c r="AQ126" s="14"/>
      <c r="AR126" s="21">
        <f t="shared" si="10"/>
        <v>0</v>
      </c>
      <c r="AS126" s="14"/>
      <c r="AT126" s="21">
        <f t="shared" si="11"/>
        <v>0</v>
      </c>
    </row>
    <row r="127" spans="1:46" s="13" customFormat="1" hidden="1">
      <c r="A127" s="3" t="s">
        <v>341</v>
      </c>
      <c r="C127" s="13" t="s">
        <v>203</v>
      </c>
      <c r="E127" s="14">
        <v>0</v>
      </c>
      <c r="F127" s="14"/>
      <c r="G127" s="14">
        <v>0</v>
      </c>
      <c r="H127" s="14"/>
      <c r="I127" s="14">
        <v>0</v>
      </c>
      <c r="J127" s="14"/>
      <c r="K127" s="14">
        <v>0</v>
      </c>
      <c r="L127" s="14"/>
      <c r="M127" s="14">
        <v>0</v>
      </c>
      <c r="N127" s="14"/>
      <c r="O127" s="14">
        <v>0</v>
      </c>
      <c r="P127" s="14"/>
      <c r="Q127" s="14">
        <v>0</v>
      </c>
      <c r="R127" s="14"/>
      <c r="S127" s="14">
        <v>0</v>
      </c>
      <c r="T127" s="14"/>
      <c r="U127" s="21">
        <f t="shared" si="9"/>
        <v>0</v>
      </c>
      <c r="V127" s="14"/>
      <c r="W127" s="14">
        <v>0</v>
      </c>
      <c r="X127" s="14"/>
      <c r="Y127" s="14">
        <v>0</v>
      </c>
      <c r="Z127" s="14"/>
      <c r="AA127" s="14">
        <v>0</v>
      </c>
      <c r="AB127" s="14"/>
      <c r="AC127" s="14"/>
      <c r="AD127" s="3" t="s">
        <v>341</v>
      </c>
      <c r="AF127" s="13" t="s">
        <v>203</v>
      </c>
      <c r="AG127" s="14"/>
      <c r="AH127" s="14">
        <v>0</v>
      </c>
      <c r="AI127" s="14"/>
      <c r="AJ127" s="14">
        <v>0</v>
      </c>
      <c r="AK127" s="14"/>
      <c r="AL127" s="14"/>
      <c r="AM127" s="14"/>
      <c r="AN127" s="14">
        <v>0</v>
      </c>
      <c r="AO127" s="14"/>
      <c r="AP127" s="14">
        <v>0</v>
      </c>
      <c r="AQ127" s="14"/>
      <c r="AR127" s="21">
        <f t="shared" si="10"/>
        <v>0</v>
      </c>
      <c r="AS127" s="14"/>
      <c r="AT127" s="21">
        <f t="shared" si="11"/>
        <v>0</v>
      </c>
    </row>
    <row r="128" spans="1:46" s="13" customFormat="1" hidden="1">
      <c r="A128" s="3" t="s">
        <v>308</v>
      </c>
      <c r="C128" s="13" t="s">
        <v>204</v>
      </c>
      <c r="E128" s="14">
        <v>0</v>
      </c>
      <c r="F128" s="14"/>
      <c r="G128" s="14">
        <v>0</v>
      </c>
      <c r="H128" s="3"/>
      <c r="I128" s="14">
        <v>0</v>
      </c>
      <c r="J128" s="3"/>
      <c r="K128" s="14">
        <v>0</v>
      </c>
      <c r="L128" s="3"/>
      <c r="M128" s="14">
        <v>0</v>
      </c>
      <c r="N128" s="3"/>
      <c r="O128" s="14">
        <v>0</v>
      </c>
      <c r="P128" s="3"/>
      <c r="Q128" s="14">
        <v>0</v>
      </c>
      <c r="R128" s="3"/>
      <c r="S128" s="14">
        <v>0</v>
      </c>
      <c r="T128" s="3"/>
      <c r="U128" s="21">
        <f t="shared" si="9"/>
        <v>0</v>
      </c>
      <c r="V128" s="3"/>
      <c r="W128" s="14">
        <v>0</v>
      </c>
      <c r="X128" s="3"/>
      <c r="Y128" s="14">
        <v>0</v>
      </c>
      <c r="AA128" s="14">
        <v>0</v>
      </c>
      <c r="AB128" s="3"/>
      <c r="AC128" s="3"/>
      <c r="AD128" s="3" t="s">
        <v>308</v>
      </c>
      <c r="AF128" s="13" t="s">
        <v>204</v>
      </c>
      <c r="AH128" s="14">
        <v>0</v>
      </c>
      <c r="AI128" s="3"/>
      <c r="AJ128" s="14">
        <v>0</v>
      </c>
      <c r="AK128" s="3"/>
      <c r="AL128" s="3"/>
      <c r="AM128" s="3"/>
      <c r="AN128" s="14">
        <v>0</v>
      </c>
      <c r="AO128" s="3"/>
      <c r="AP128" s="14">
        <v>0</v>
      </c>
      <c r="AQ128" s="3"/>
      <c r="AR128" s="21">
        <f t="shared" si="10"/>
        <v>0</v>
      </c>
      <c r="AS128" s="14"/>
      <c r="AT128" s="21">
        <f t="shared" si="11"/>
        <v>0</v>
      </c>
    </row>
    <row r="129" spans="1:46" s="13" customFormat="1">
      <c r="A129" s="3" t="s">
        <v>201</v>
      </c>
      <c r="C129" s="13" t="s">
        <v>261</v>
      </c>
      <c r="E129" s="14">
        <v>0</v>
      </c>
      <c r="F129" s="14"/>
      <c r="G129" s="14">
        <v>1514292</v>
      </c>
      <c r="H129" s="14"/>
      <c r="I129" s="14">
        <v>1534</v>
      </c>
      <c r="J129" s="14"/>
      <c r="K129" s="14">
        <f>319554+2675899</f>
        <v>2995453</v>
      </c>
      <c r="L129" s="14"/>
      <c r="M129" s="14">
        <v>0</v>
      </c>
      <c r="N129" s="14"/>
      <c r="O129" s="14">
        <v>0</v>
      </c>
      <c r="P129" s="14"/>
      <c r="Q129" s="14">
        <v>0</v>
      </c>
      <c r="R129" s="14"/>
      <c r="S129" s="14">
        <v>537</v>
      </c>
      <c r="T129" s="14"/>
      <c r="U129" s="21">
        <f t="shared" si="9"/>
        <v>4511816</v>
      </c>
      <c r="V129" s="14"/>
      <c r="W129" s="14">
        <v>0</v>
      </c>
      <c r="X129" s="14"/>
      <c r="Y129" s="14">
        <v>0</v>
      </c>
      <c r="Z129" s="14"/>
      <c r="AA129" s="14">
        <v>0</v>
      </c>
      <c r="AB129" s="14"/>
      <c r="AC129" s="14">
        <v>0</v>
      </c>
      <c r="AD129" s="3" t="s">
        <v>201</v>
      </c>
      <c r="AF129" s="13" t="s">
        <v>261</v>
      </c>
      <c r="AG129" s="14"/>
      <c r="AH129" s="14">
        <v>0</v>
      </c>
      <c r="AI129" s="14"/>
      <c r="AJ129" s="14">
        <v>106569</v>
      </c>
      <c r="AK129" s="14"/>
      <c r="AL129" s="14"/>
      <c r="AM129" s="14"/>
      <c r="AN129" s="14">
        <v>0</v>
      </c>
      <c r="AO129" s="14"/>
      <c r="AP129" s="14">
        <v>0</v>
      </c>
      <c r="AQ129" s="14"/>
      <c r="AR129" s="21">
        <f t="shared" si="10"/>
        <v>106569</v>
      </c>
      <c r="AS129" s="14"/>
      <c r="AT129" s="21">
        <f t="shared" si="11"/>
        <v>4618385</v>
      </c>
    </row>
    <row r="130" spans="1:46" s="13" customFormat="1">
      <c r="A130" s="3" t="s">
        <v>340</v>
      </c>
      <c r="C130" s="13" t="s">
        <v>206</v>
      </c>
      <c r="E130" s="14">
        <v>0</v>
      </c>
      <c r="F130" s="14"/>
      <c r="G130" s="14">
        <v>4882144</v>
      </c>
      <c r="H130" s="14"/>
      <c r="I130" s="14">
        <v>34058</v>
      </c>
      <c r="J130" s="14"/>
      <c r="K130" s="14">
        <f>689149+8865840</f>
        <v>9554989</v>
      </c>
      <c r="L130" s="14"/>
      <c r="M130" s="14">
        <v>0</v>
      </c>
      <c r="N130" s="14"/>
      <c r="O130" s="14">
        <v>0</v>
      </c>
      <c r="P130" s="14"/>
      <c r="Q130" s="14">
        <v>76425</v>
      </c>
      <c r="R130" s="14"/>
      <c r="S130" s="14">
        <v>74327</v>
      </c>
      <c r="T130" s="14"/>
      <c r="U130" s="21">
        <f t="shared" si="9"/>
        <v>14621943</v>
      </c>
      <c r="V130" s="14"/>
      <c r="W130" s="14">
        <v>0</v>
      </c>
      <c r="X130" s="14"/>
      <c r="Y130" s="14">
        <v>0</v>
      </c>
      <c r="Z130" s="14"/>
      <c r="AA130" s="14">
        <v>0</v>
      </c>
      <c r="AB130" s="14"/>
      <c r="AC130" s="14">
        <v>0</v>
      </c>
      <c r="AD130" s="3" t="s">
        <v>340</v>
      </c>
      <c r="AF130" s="13" t="s">
        <v>206</v>
      </c>
      <c r="AG130" s="14"/>
      <c r="AH130" s="14">
        <v>0</v>
      </c>
      <c r="AI130" s="14"/>
      <c r="AJ130" s="14">
        <v>5700</v>
      </c>
      <c r="AK130" s="14"/>
      <c r="AL130" s="14"/>
      <c r="AM130" s="14"/>
      <c r="AN130" s="14">
        <v>0</v>
      </c>
      <c r="AO130" s="14"/>
      <c r="AP130" s="14">
        <v>0</v>
      </c>
      <c r="AQ130" s="14"/>
      <c r="AR130" s="21">
        <f t="shared" si="10"/>
        <v>5700</v>
      </c>
      <c r="AS130" s="14"/>
      <c r="AT130" s="21">
        <f t="shared" si="11"/>
        <v>14627643</v>
      </c>
    </row>
    <row r="131" spans="1:46" s="13" customFormat="1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21"/>
      <c r="V131" s="14"/>
      <c r="W131" s="14"/>
      <c r="X131" s="14"/>
      <c r="Y131" s="14"/>
      <c r="Z131" s="14"/>
      <c r="AA131" s="14"/>
      <c r="AB131" s="14"/>
      <c r="AC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21"/>
      <c r="AS131" s="14"/>
      <c r="AT131" s="21"/>
    </row>
    <row r="132" spans="1:46" s="13" customFormat="1">
      <c r="AA132" s="30" t="s">
        <v>257</v>
      </c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>
      <c r="A133" s="72"/>
      <c r="B133" s="72"/>
      <c r="C133" s="72"/>
      <c r="D133" s="72"/>
      <c r="E133" s="72"/>
    </row>
    <row r="134" spans="1:46">
      <c r="E134" s="7"/>
    </row>
    <row r="135" spans="1:46">
      <c r="E135" s="7"/>
    </row>
    <row r="136" spans="1:46">
      <c r="E136" s="7"/>
    </row>
    <row r="137" spans="1:46">
      <c r="E137" s="7"/>
    </row>
    <row r="138" spans="1:46">
      <c r="E138" s="7"/>
    </row>
    <row r="139" spans="1:46">
      <c r="E139" s="7"/>
    </row>
    <row r="140" spans="1:46">
      <c r="E140" s="7"/>
    </row>
    <row r="142" spans="1:46">
      <c r="E142" s="7"/>
    </row>
    <row r="143" spans="1:46">
      <c r="E143" s="7"/>
    </row>
    <row r="144" spans="1:46">
      <c r="E144" s="7"/>
    </row>
    <row r="145" spans="5:5">
      <c r="E145" s="7"/>
    </row>
    <row r="146" spans="5:5">
      <c r="E146" s="7"/>
    </row>
    <row r="147" spans="5:5">
      <c r="E147" s="7"/>
    </row>
    <row r="148" spans="5:5">
      <c r="E148" s="7"/>
    </row>
    <row r="149" spans="5:5">
      <c r="E149" s="7"/>
    </row>
    <row r="150" spans="5:5">
      <c r="E150" s="7"/>
    </row>
    <row r="151" spans="5:5">
      <c r="E151" s="7"/>
    </row>
    <row r="152" spans="5:5">
      <c r="E152" s="7"/>
    </row>
    <row r="153" spans="5:5">
      <c r="E153" s="7"/>
    </row>
    <row r="154" spans="5:5">
      <c r="E154" s="7"/>
    </row>
    <row r="155" spans="5:5">
      <c r="E155" s="7"/>
    </row>
    <row r="156" spans="5:5">
      <c r="E156" s="7"/>
    </row>
    <row r="157" spans="5:5">
      <c r="E157" s="7"/>
    </row>
    <row r="158" spans="5:5">
      <c r="E158" s="7"/>
    </row>
    <row r="159" spans="5:5">
      <c r="E159" s="7"/>
    </row>
    <row r="160" spans="5:5">
      <c r="E160" s="7"/>
    </row>
    <row r="161" spans="5:5">
      <c r="E161" s="7"/>
    </row>
    <row r="162" spans="5:5">
      <c r="E162" s="7"/>
    </row>
    <row r="163" spans="5:5">
      <c r="E163" s="7"/>
    </row>
    <row r="164" spans="5:5">
      <c r="E164" s="7"/>
    </row>
    <row r="165" spans="5:5">
      <c r="E165" s="7"/>
    </row>
    <row r="166" spans="5:5">
      <c r="E166" s="7"/>
    </row>
    <row r="167" spans="5:5">
      <c r="E167" s="7"/>
    </row>
    <row r="168" spans="5:5">
      <c r="E168" s="7"/>
    </row>
    <row r="169" spans="5:5">
      <c r="E169" s="7"/>
    </row>
    <row r="170" spans="5:5">
      <c r="E170" s="7"/>
    </row>
    <row r="171" spans="5:5">
      <c r="E171" s="7"/>
    </row>
    <row r="172" spans="5:5">
      <c r="E172" s="7"/>
    </row>
    <row r="173" spans="5:5">
      <c r="E173" s="7"/>
    </row>
    <row r="174" spans="5:5">
      <c r="E174" s="7"/>
    </row>
    <row r="175" spans="5:5">
      <c r="E175" s="7"/>
    </row>
    <row r="176" spans="5:5">
      <c r="E176" s="7"/>
    </row>
    <row r="177" spans="5:5">
      <c r="E177" s="7"/>
    </row>
    <row r="178" spans="5:5">
      <c r="E178" s="7"/>
    </row>
    <row r="179" spans="5:5">
      <c r="E179" s="7"/>
    </row>
    <row r="181" spans="5:5">
      <c r="E181" s="7"/>
    </row>
    <row r="182" spans="5:5">
      <c r="E182" s="7"/>
    </row>
    <row r="183" spans="5:5">
      <c r="E183" s="7"/>
    </row>
    <row r="184" spans="5:5">
      <c r="E184" s="7"/>
    </row>
    <row r="185" spans="5:5">
      <c r="E185" s="7"/>
    </row>
    <row r="186" spans="5:5">
      <c r="E186" s="7"/>
    </row>
    <row r="187" spans="5:5">
      <c r="E187" s="7"/>
    </row>
    <row r="188" spans="5:5">
      <c r="E188" s="7"/>
    </row>
    <row r="189" spans="5:5">
      <c r="E189" s="7"/>
    </row>
    <row r="190" spans="5:5">
      <c r="E190" s="7"/>
    </row>
    <row r="191" spans="5:5">
      <c r="E191" s="7"/>
    </row>
    <row r="192" spans="5:5">
      <c r="E192" s="7"/>
    </row>
    <row r="194" spans="5:5">
      <c r="E194" s="7"/>
    </row>
    <row r="195" spans="5:5">
      <c r="E195" s="7"/>
    </row>
    <row r="196" spans="5:5">
      <c r="E196" s="7"/>
    </row>
    <row r="197" spans="5:5">
      <c r="E197" s="7"/>
    </row>
    <row r="198" spans="5:5">
      <c r="E198" s="7"/>
    </row>
    <row r="199" spans="5:5">
      <c r="E199" s="7"/>
    </row>
    <row r="200" spans="5:5">
      <c r="E200" s="7"/>
    </row>
    <row r="201" spans="5:5">
      <c r="E201" s="7"/>
    </row>
    <row r="202" spans="5:5">
      <c r="E202" s="7"/>
    </row>
    <row r="203" spans="5:5">
      <c r="E203" s="7"/>
    </row>
  </sheetData>
  <mergeCells count="3">
    <mergeCell ref="A133:E133"/>
    <mergeCell ref="A66:E66"/>
    <mergeCell ref="AH7:AN7"/>
  </mergeCells>
  <phoneticPr fontId="3" type="noConversion"/>
  <pageMargins left="0.9" right="0.75" top="0.5" bottom="0.5" header="0.25" footer="0.25"/>
  <pageSetup scale="78" firstPageNumber="52" pageOrder="overThenDown" orientation="portrait" useFirstPageNumber="1" r:id="rId1"/>
  <headerFooter scaleWithDoc="0" alignWithMargins="0"/>
  <rowBreaks count="1" manualBreakCount="1">
    <brk id="66" max="48" man="1"/>
  </rowBreaks>
  <colBreaks count="2" manualBreakCount="2">
    <brk id="11" max="131" man="1"/>
    <brk id="27" max="1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95"/>
  <sheetViews>
    <sheetView view="pageBreakPreview" zoomScaleNormal="80" zoomScaleSheetLayoutView="100" workbookViewId="0">
      <pane xSplit="4" ySplit="11" topLeftCell="E12" activePane="bottomRight" state="frozen"/>
      <selection activeCell="M146" sqref="M146"/>
      <selection pane="topRight" activeCell="M146" sqref="M146"/>
      <selection pane="bottomLeft" activeCell="M146" sqref="M146"/>
      <selection pane="bottomRight" activeCell="E12" sqref="E12"/>
    </sheetView>
  </sheetViews>
  <sheetFormatPr defaultRowHeight="12"/>
  <cols>
    <col min="1" max="1" width="40.7109375" style="24" customWidth="1"/>
    <col min="2" max="2" width="1.7109375" style="24" customWidth="1"/>
    <col min="3" max="3" width="11.7109375" style="24" customWidth="1"/>
    <col min="4" max="4" width="1.7109375" style="24" customWidth="1"/>
    <col min="5" max="5" width="11.7109375" style="24" customWidth="1"/>
    <col min="6" max="6" width="1.7109375" style="24" customWidth="1"/>
    <col min="7" max="7" width="11.7109375" style="24" customWidth="1"/>
    <col min="8" max="8" width="1.7109375" style="24" customWidth="1"/>
    <col min="9" max="9" width="11.7109375" style="24" customWidth="1"/>
    <col min="10" max="10" width="1.7109375" style="24" customWidth="1"/>
    <col min="11" max="11" width="13.140625" style="23" customWidth="1"/>
    <col min="12" max="12" width="1.7109375" style="24" customWidth="1"/>
    <col min="13" max="13" width="11.7109375" style="24" customWidth="1"/>
    <col min="14" max="14" width="1.7109375" style="24" customWidth="1"/>
    <col min="15" max="15" width="11.7109375" style="24" customWidth="1"/>
    <col min="16" max="16" width="1.7109375" style="24" customWidth="1"/>
    <col min="17" max="17" width="11.7109375" style="24" customWidth="1"/>
    <col min="18" max="18" width="1.7109375" style="24" customWidth="1"/>
    <col min="19" max="19" width="11.7109375" style="24" customWidth="1"/>
    <col min="20" max="20" width="1.7109375" style="24" customWidth="1"/>
    <col min="21" max="21" width="10.7109375" style="24" customWidth="1"/>
    <col min="22" max="22" width="1.7109375" style="24" customWidth="1"/>
    <col min="23" max="23" width="10.7109375" style="24" customWidth="1"/>
    <col min="24" max="24" width="1.7109375" style="24" customWidth="1"/>
    <col min="25" max="25" width="10.7109375" style="24" customWidth="1"/>
    <col min="26" max="26" width="1.7109375" style="24" customWidth="1"/>
    <col min="27" max="27" width="11.7109375" style="24" customWidth="1"/>
    <col min="28" max="28" width="1.7109375" style="24" customWidth="1"/>
    <col min="29" max="29" width="40.7109375" style="24" customWidth="1"/>
    <col min="30" max="30" width="1.7109375" style="24" customWidth="1"/>
    <col min="31" max="31" width="11.7109375" style="24" customWidth="1"/>
    <col min="32" max="32" width="1.7109375" style="24" customWidth="1"/>
    <col min="33" max="33" width="11.7109375" style="24" customWidth="1"/>
    <col min="34" max="34" width="1.7109375" style="24" customWidth="1"/>
    <col min="35" max="35" width="11.7109375" style="24" customWidth="1"/>
    <col min="36" max="36" width="1.7109375" style="24" hidden="1" customWidth="1"/>
    <col min="37" max="37" width="10.7109375" style="24" hidden="1" customWidth="1"/>
    <col min="38" max="38" width="1.7109375" style="24" customWidth="1"/>
    <col min="39" max="39" width="11.7109375" style="24" customWidth="1"/>
    <col min="40" max="40" width="1.7109375" style="24" customWidth="1"/>
    <col min="41" max="41" width="10.7109375" style="24" customWidth="1"/>
    <col min="42" max="42" width="1.7109375" style="24" customWidth="1"/>
    <col min="43" max="43" width="10.7109375" style="24" customWidth="1"/>
    <col min="44" max="44" width="1.7109375" style="24" customWidth="1"/>
    <col min="45" max="45" width="10.7109375" style="24" customWidth="1"/>
    <col min="46" max="46" width="1.7109375" style="24" customWidth="1"/>
    <col min="47" max="47" width="10.7109375" style="24" customWidth="1"/>
    <col min="48" max="48" width="1.7109375" style="24" customWidth="1"/>
    <col min="49" max="49" width="10.7109375" style="24" customWidth="1"/>
    <col min="50" max="50" width="1.7109375" style="24" customWidth="1"/>
    <col min="51" max="51" width="10.7109375" style="24" customWidth="1"/>
    <col min="52" max="52" width="1.7109375" style="24" hidden="1" customWidth="1"/>
    <col min="53" max="53" width="10.7109375" style="24" hidden="1" customWidth="1"/>
    <col min="54" max="54" width="1.7109375" style="24" customWidth="1"/>
    <col min="55" max="55" width="10.7109375" style="24" customWidth="1"/>
    <col min="56" max="56" width="40.7109375" style="24" customWidth="1"/>
    <col min="57" max="57" width="1.7109375" style="24" customWidth="1"/>
    <col min="58" max="58" width="11.7109375" style="24" customWidth="1"/>
    <col min="59" max="59" width="1.7109375" style="24" customWidth="1"/>
    <col min="60" max="60" width="11.7109375" style="24" customWidth="1"/>
    <col min="61" max="61" width="1.7109375" style="24" hidden="1" customWidth="1"/>
    <col min="62" max="62" width="11.7109375" style="24" hidden="1" customWidth="1"/>
    <col min="63" max="63" width="1.7109375" style="24" hidden="1" customWidth="1"/>
    <col min="64" max="64" width="11.7109375" style="24" hidden="1" customWidth="1"/>
    <col min="65" max="65" width="1.7109375" style="24" customWidth="1"/>
    <col min="66" max="66" width="11.7109375" style="24" customWidth="1"/>
    <col min="67" max="67" width="1.7109375" style="24" customWidth="1"/>
    <col min="68" max="68" width="11.7109375" style="24" customWidth="1"/>
    <col min="69" max="69" width="1.7109375" style="24" customWidth="1"/>
    <col min="70" max="70" width="11.7109375" style="24" customWidth="1"/>
    <col min="71" max="71" width="1.7109375" style="24" customWidth="1"/>
    <col min="72" max="72" width="11.7109375" style="24" customWidth="1"/>
    <col min="73" max="73" width="1.7109375" style="24" customWidth="1"/>
    <col min="74" max="74" width="11.7109375" style="24" customWidth="1"/>
    <col min="75" max="75" width="1.7109375" style="24" customWidth="1"/>
    <col min="76" max="76" width="11.7109375" style="24" customWidth="1"/>
    <col min="77" max="77" width="1.7109375" style="24" hidden="1" customWidth="1"/>
    <col min="78" max="78" width="11.7109375" style="24" hidden="1" customWidth="1"/>
    <col min="79" max="16384" width="9.140625" style="24"/>
  </cols>
  <sheetData>
    <row r="1" spans="1:78" s="6" customFormat="1">
      <c r="A1" s="28" t="s">
        <v>259</v>
      </c>
      <c r="B1" s="28"/>
      <c r="C1" s="28"/>
      <c r="D1" s="28"/>
      <c r="E1" s="28"/>
      <c r="F1" s="28"/>
      <c r="G1" s="32"/>
      <c r="H1" s="32"/>
      <c r="I1" s="32"/>
      <c r="J1" s="32"/>
      <c r="K1" s="32"/>
      <c r="L1" s="32"/>
      <c r="M1" s="32"/>
      <c r="N1" s="3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8" t="s">
        <v>259</v>
      </c>
      <c r="AD1" s="28"/>
      <c r="AE1" s="28"/>
      <c r="AF1" s="28"/>
      <c r="AG1" s="1"/>
      <c r="AH1" s="1"/>
      <c r="AI1" s="1"/>
      <c r="AJ1" s="1"/>
      <c r="AK1" s="1"/>
      <c r="AL1" s="28"/>
      <c r="AM1" s="1"/>
      <c r="AN1" s="1"/>
      <c r="AO1" s="1"/>
      <c r="AP1" s="1"/>
      <c r="AQ1" s="1"/>
      <c r="AR1" s="1"/>
      <c r="AS1" s="1"/>
      <c r="AT1" s="1"/>
      <c r="AU1" s="1"/>
      <c r="AV1" s="1"/>
      <c r="AW1" s="33"/>
      <c r="BD1" s="28" t="s">
        <v>259</v>
      </c>
      <c r="BE1" s="28"/>
      <c r="BF1" s="28"/>
    </row>
    <row r="2" spans="1:78" s="6" customFormat="1">
      <c r="A2" s="28" t="s">
        <v>351</v>
      </c>
      <c r="B2" s="28"/>
      <c r="C2" s="28"/>
      <c r="D2" s="28"/>
      <c r="E2" s="28"/>
      <c r="F2" s="28"/>
      <c r="G2" s="32"/>
      <c r="H2" s="32"/>
      <c r="I2" s="1"/>
      <c r="J2" s="1"/>
      <c r="K2" s="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8" t="s">
        <v>351</v>
      </c>
      <c r="AD2" s="28"/>
      <c r="AE2" s="28"/>
      <c r="AF2" s="28"/>
      <c r="AG2" s="1"/>
      <c r="AH2" s="1"/>
      <c r="AI2" s="1"/>
      <c r="AJ2" s="1"/>
      <c r="AK2" s="1"/>
      <c r="AL2" s="28"/>
      <c r="AM2" s="1"/>
      <c r="AN2" s="1"/>
      <c r="AO2" s="1"/>
      <c r="AP2" s="1"/>
      <c r="AQ2" s="1"/>
      <c r="AR2" s="1"/>
      <c r="AS2" s="1"/>
      <c r="AT2" s="1"/>
      <c r="AU2" s="1"/>
      <c r="AV2" s="1"/>
      <c r="AW2" s="33"/>
      <c r="BD2" s="28" t="s">
        <v>351</v>
      </c>
      <c r="BE2" s="28"/>
      <c r="BF2" s="28"/>
    </row>
    <row r="3" spans="1:78" s="3" customFormat="1">
      <c r="A3" s="6"/>
      <c r="B3" s="32"/>
      <c r="C3" s="32"/>
      <c r="D3" s="32"/>
      <c r="E3" s="32"/>
      <c r="F3" s="32"/>
      <c r="G3" s="32"/>
      <c r="H3" s="32"/>
      <c r="I3" s="1"/>
      <c r="J3" s="1"/>
      <c r="K3" s="3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"/>
      <c r="AD3" s="32"/>
      <c r="AE3" s="32"/>
      <c r="AF3" s="32"/>
      <c r="AG3" s="1"/>
      <c r="AH3" s="1"/>
      <c r="AI3" s="1"/>
      <c r="AJ3" s="1"/>
      <c r="AK3" s="1"/>
      <c r="AL3" s="32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BD3" s="6"/>
      <c r="BE3" s="32"/>
      <c r="BF3" s="32"/>
    </row>
    <row r="4" spans="1:78" s="3" customFormat="1" ht="12.75" customHeight="1">
      <c r="A4" s="6" t="s">
        <v>260</v>
      </c>
      <c r="B4" s="4"/>
      <c r="C4" s="4"/>
      <c r="D4" s="4"/>
      <c r="E4" s="1"/>
      <c r="F4" s="1"/>
      <c r="G4" s="1"/>
      <c r="H4" s="1"/>
      <c r="I4" s="1"/>
      <c r="J4" s="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6" t="s">
        <v>260</v>
      </c>
      <c r="AD4" s="4"/>
      <c r="AE4" s="4"/>
      <c r="AF4" s="4"/>
      <c r="AG4" s="1"/>
      <c r="AH4" s="1"/>
      <c r="AI4" s="1"/>
      <c r="AJ4" s="1"/>
      <c r="AK4" s="1"/>
      <c r="AL4" s="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BD4" s="6" t="s">
        <v>260</v>
      </c>
      <c r="BE4" s="4"/>
      <c r="BF4" s="4"/>
    </row>
    <row r="5" spans="1:78" s="3" customFormat="1" ht="12.75" customHeight="1">
      <c r="A5" s="6"/>
      <c r="B5" s="4"/>
      <c r="C5" s="4"/>
      <c r="D5" s="4"/>
      <c r="E5" s="1"/>
      <c r="F5" s="1"/>
      <c r="G5" s="1"/>
      <c r="H5" s="1"/>
      <c r="I5" s="1"/>
      <c r="J5" s="1"/>
      <c r="K5" s="5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s="4"/>
      <c r="AE5" s="4"/>
      <c r="AF5" s="4"/>
      <c r="AG5" s="1"/>
      <c r="AH5" s="1"/>
      <c r="AI5" s="1"/>
      <c r="AJ5" s="1"/>
      <c r="AK5" s="1"/>
      <c r="AL5" s="4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BE5" s="4"/>
      <c r="BF5" s="4"/>
    </row>
    <row r="6" spans="1:78" s="3" customFormat="1" ht="12.75" customHeight="1">
      <c r="A6" s="26" t="s">
        <v>317</v>
      </c>
      <c r="B6" s="4"/>
      <c r="C6" s="4"/>
      <c r="D6" s="4"/>
      <c r="E6" s="1"/>
      <c r="F6" s="1"/>
      <c r="G6" s="1"/>
      <c r="H6" s="1"/>
      <c r="I6" s="1"/>
      <c r="J6" s="1"/>
      <c r="L6" s="1"/>
      <c r="M6" s="10" t="s">
        <v>56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6" t="s">
        <v>317</v>
      </c>
      <c r="AD6" s="4"/>
      <c r="AE6" s="4"/>
      <c r="AF6" s="4"/>
      <c r="AG6" s="1"/>
      <c r="AH6" s="1"/>
      <c r="AI6" s="1"/>
      <c r="AJ6" s="1"/>
      <c r="AK6" s="1"/>
      <c r="AL6" s="4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BD6" s="26" t="s">
        <v>317</v>
      </c>
      <c r="BE6" s="4"/>
      <c r="BF6" s="4"/>
    </row>
    <row r="7" spans="1:78" s="3" customFormat="1">
      <c r="A7" s="49"/>
      <c r="B7" s="6"/>
      <c r="C7" s="6"/>
      <c r="D7" s="6"/>
      <c r="E7" s="70" t="s">
        <v>56</v>
      </c>
      <c r="F7" s="70"/>
      <c r="G7" s="70"/>
      <c r="H7" s="70"/>
      <c r="I7" s="70"/>
      <c r="J7" s="70"/>
      <c r="K7" s="70"/>
      <c r="L7" s="38"/>
      <c r="M7" s="34" t="s">
        <v>344</v>
      </c>
      <c r="O7" s="70" t="s">
        <v>57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49"/>
      <c r="AD7" s="6"/>
      <c r="AE7" s="6"/>
      <c r="AF7" s="6"/>
      <c r="AG7" s="70" t="s">
        <v>345</v>
      </c>
      <c r="AH7" s="70"/>
      <c r="AI7" s="70"/>
      <c r="AJ7" s="35"/>
      <c r="AK7" s="35"/>
      <c r="AL7" s="6"/>
      <c r="AM7" s="70" t="s">
        <v>283</v>
      </c>
      <c r="AN7" s="70"/>
      <c r="AO7" s="70"/>
      <c r="AW7" s="34" t="s">
        <v>112</v>
      </c>
      <c r="AX7" s="34"/>
      <c r="AY7" s="34"/>
      <c r="BD7" s="49"/>
      <c r="BE7" s="6"/>
      <c r="BF7" s="6"/>
      <c r="BH7" s="34" t="s">
        <v>113</v>
      </c>
      <c r="BI7" s="34"/>
      <c r="BJ7" s="34"/>
      <c r="BK7" s="34"/>
      <c r="BL7" s="34"/>
      <c r="BM7" s="34"/>
      <c r="BN7" s="34"/>
      <c r="BP7" s="10" t="s">
        <v>8</v>
      </c>
      <c r="BQ7" s="10"/>
      <c r="BR7" s="10" t="s">
        <v>114</v>
      </c>
      <c r="BS7" s="10"/>
      <c r="BT7" s="10" t="s">
        <v>93</v>
      </c>
      <c r="BU7" s="10"/>
      <c r="BV7" s="10" t="s">
        <v>238</v>
      </c>
      <c r="BW7" s="10"/>
      <c r="BX7" s="10" t="s">
        <v>93</v>
      </c>
      <c r="BY7" s="10"/>
      <c r="BZ7" s="10" t="s">
        <v>4</v>
      </c>
    </row>
    <row r="8" spans="1:78" s="10" customFormat="1">
      <c r="A8" s="26"/>
      <c r="K8" s="2"/>
      <c r="AA8" s="10" t="s">
        <v>58</v>
      </c>
      <c r="AC8" s="26"/>
      <c r="BD8" s="26"/>
      <c r="BL8" s="10" t="s">
        <v>228</v>
      </c>
      <c r="BN8" s="10" t="s">
        <v>115</v>
      </c>
      <c r="BP8" s="10" t="s">
        <v>116</v>
      </c>
      <c r="BR8" s="10" t="s">
        <v>117</v>
      </c>
      <c r="BT8" s="10" t="s">
        <v>118</v>
      </c>
      <c r="BV8" s="10" t="s">
        <v>237</v>
      </c>
      <c r="BX8" s="10" t="s">
        <v>118</v>
      </c>
      <c r="BZ8" s="10" t="s">
        <v>11</v>
      </c>
    </row>
    <row r="9" spans="1:78" s="10" customFormat="1">
      <c r="A9" s="26"/>
      <c r="B9" s="2"/>
      <c r="C9" s="2"/>
      <c r="D9" s="2"/>
      <c r="E9" s="2"/>
      <c r="F9" s="2"/>
      <c r="G9" s="2"/>
      <c r="H9" s="2"/>
      <c r="I9" s="2"/>
      <c r="J9" s="2"/>
      <c r="K9" s="18" t="s">
        <v>354</v>
      </c>
      <c r="L9" s="2"/>
      <c r="M9" s="2"/>
      <c r="N9" s="2"/>
      <c r="O9" s="2"/>
      <c r="P9" s="2"/>
      <c r="Q9" s="2" t="s">
        <v>61</v>
      </c>
      <c r="R9" s="2"/>
      <c r="S9" s="2" t="s">
        <v>62</v>
      </c>
      <c r="T9" s="2"/>
      <c r="U9" s="2"/>
      <c r="V9" s="2"/>
      <c r="W9" s="2"/>
      <c r="X9" s="2"/>
      <c r="Y9" s="2"/>
      <c r="Z9" s="2"/>
      <c r="AA9" s="2" t="s">
        <v>63</v>
      </c>
      <c r="AB9" s="2"/>
      <c r="AC9" s="26"/>
      <c r="AD9" s="2"/>
      <c r="AE9" s="2"/>
      <c r="AF9" s="2"/>
      <c r="AG9" s="2" t="s">
        <v>64</v>
      </c>
      <c r="AH9" s="2"/>
      <c r="AI9" s="2"/>
      <c r="AJ9" s="2"/>
      <c r="AK9" s="2"/>
      <c r="AL9" s="2"/>
      <c r="AM9" s="10" t="s">
        <v>65</v>
      </c>
      <c r="AQ9" s="10" t="s">
        <v>66</v>
      </c>
      <c r="AS9" s="10" t="s">
        <v>6</v>
      </c>
      <c r="AU9" s="10" t="s">
        <v>100</v>
      </c>
      <c r="AW9" s="10" t="s">
        <v>119</v>
      </c>
      <c r="BC9" s="10" t="s">
        <v>8</v>
      </c>
      <c r="BD9" s="26"/>
      <c r="BE9" s="2"/>
      <c r="BF9" s="2"/>
      <c r="BH9" s="10" t="s">
        <v>67</v>
      </c>
      <c r="BJ9" s="10" t="s">
        <v>120</v>
      </c>
      <c r="BL9" s="10" t="s">
        <v>229</v>
      </c>
      <c r="BN9" s="10" t="s">
        <v>84</v>
      </c>
      <c r="BP9" s="10" t="s">
        <v>40</v>
      </c>
      <c r="BR9" s="10" t="s">
        <v>93</v>
      </c>
      <c r="BT9" s="2" t="s">
        <v>70</v>
      </c>
      <c r="BV9" s="10" t="s">
        <v>227</v>
      </c>
      <c r="BX9" s="2" t="s">
        <v>121</v>
      </c>
      <c r="BZ9" s="10" t="s">
        <v>122</v>
      </c>
    </row>
    <row r="10" spans="1:78" s="10" customFormat="1">
      <c r="A10" s="57" t="s">
        <v>282</v>
      </c>
      <c r="C10" s="57" t="s">
        <v>12</v>
      </c>
      <c r="D10" s="2"/>
      <c r="E10" s="9" t="s">
        <v>348</v>
      </c>
      <c r="G10" s="9" t="s">
        <v>73</v>
      </c>
      <c r="I10" s="9" t="s">
        <v>74</v>
      </c>
      <c r="J10" s="2"/>
      <c r="K10" s="9" t="s">
        <v>353</v>
      </c>
      <c r="M10" s="9" t="s">
        <v>84</v>
      </c>
      <c r="O10" s="9" t="s">
        <v>347</v>
      </c>
      <c r="Q10" s="9" t="s">
        <v>75</v>
      </c>
      <c r="S10" s="9" t="s">
        <v>76</v>
      </c>
      <c r="U10" s="9" t="s">
        <v>77</v>
      </c>
      <c r="W10" s="9" t="s">
        <v>78</v>
      </c>
      <c r="X10" s="2"/>
      <c r="Y10" s="57" t="s">
        <v>79</v>
      </c>
      <c r="AA10" s="9" t="s">
        <v>80</v>
      </c>
      <c r="AB10" s="2"/>
      <c r="AC10" s="57" t="s">
        <v>282</v>
      </c>
      <c r="AE10" s="57" t="s">
        <v>12</v>
      </c>
      <c r="AG10" s="57" t="s">
        <v>81</v>
      </c>
      <c r="AH10" s="2"/>
      <c r="AI10" s="57" t="s">
        <v>82</v>
      </c>
      <c r="AK10" s="57" t="s">
        <v>84</v>
      </c>
      <c r="AM10" s="57" t="s">
        <v>83</v>
      </c>
      <c r="AO10" s="57" t="s">
        <v>84</v>
      </c>
      <c r="AP10" s="2"/>
      <c r="AQ10" s="57" t="s">
        <v>50</v>
      </c>
      <c r="AR10" s="2"/>
      <c r="AS10" s="57" t="s">
        <v>123</v>
      </c>
      <c r="AT10" s="2"/>
      <c r="AU10" s="57" t="s">
        <v>105</v>
      </c>
      <c r="AV10" s="2"/>
      <c r="AW10" s="57" t="s">
        <v>349</v>
      </c>
      <c r="AX10" s="2"/>
      <c r="AY10" s="57" t="s">
        <v>85</v>
      </c>
      <c r="AZ10" s="2"/>
      <c r="BA10" s="57" t="s">
        <v>128</v>
      </c>
      <c r="BB10" s="2"/>
      <c r="BC10" s="57" t="s">
        <v>116</v>
      </c>
      <c r="BD10" s="57" t="s">
        <v>282</v>
      </c>
      <c r="BF10" s="57" t="s">
        <v>12</v>
      </c>
      <c r="BG10" s="2"/>
      <c r="BH10" s="57" t="s">
        <v>86</v>
      </c>
      <c r="BI10" s="2"/>
      <c r="BJ10" s="57" t="s">
        <v>86</v>
      </c>
      <c r="BK10" s="2"/>
      <c r="BL10" s="57" t="s">
        <v>236</v>
      </c>
      <c r="BM10" s="2"/>
      <c r="BN10" s="57" t="s">
        <v>124</v>
      </c>
      <c r="BO10" s="2"/>
      <c r="BP10" s="57" t="s">
        <v>125</v>
      </c>
      <c r="BQ10" s="2"/>
      <c r="BR10" s="57" t="s">
        <v>118</v>
      </c>
      <c r="BT10" s="57" t="s">
        <v>89</v>
      </c>
      <c r="BV10" s="57" t="s">
        <v>226</v>
      </c>
      <c r="BX10" s="57" t="s">
        <v>89</v>
      </c>
      <c r="BZ10" s="57" t="s">
        <v>20</v>
      </c>
    </row>
    <row r="11" spans="1:78" s="10" customFormat="1">
      <c r="A11" s="2"/>
      <c r="C11" s="2"/>
      <c r="D11" s="2"/>
      <c r="E11" s="2"/>
      <c r="G11" s="2"/>
      <c r="I11" s="2"/>
      <c r="J11" s="2"/>
      <c r="K11" s="50"/>
      <c r="M11" s="2"/>
      <c r="O11" s="2"/>
      <c r="Q11" s="2"/>
      <c r="S11" s="2"/>
      <c r="U11" s="2"/>
      <c r="W11" s="2"/>
      <c r="X11" s="2"/>
      <c r="Y11" s="2"/>
      <c r="AA11" s="2"/>
      <c r="AB11" s="2"/>
      <c r="AC11" s="2"/>
      <c r="AE11" s="2"/>
      <c r="AG11" s="2"/>
      <c r="AH11" s="2"/>
      <c r="AI11" s="2"/>
      <c r="AK11" s="2"/>
      <c r="AM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T11" s="2"/>
      <c r="BV11" s="2"/>
      <c r="BX11" s="2"/>
      <c r="BZ11" s="2"/>
    </row>
    <row r="12" spans="1:78">
      <c r="A12" s="29" t="s">
        <v>255</v>
      </c>
      <c r="AC12" s="29" t="s">
        <v>255</v>
      </c>
      <c r="BD12" s="29" t="s">
        <v>255</v>
      </c>
    </row>
    <row r="13" spans="1:78">
      <c r="A13" s="29"/>
      <c r="AC13" s="29"/>
      <c r="BD13" s="29"/>
    </row>
    <row r="14" spans="1:78">
      <c r="A14" s="3" t="s">
        <v>288</v>
      </c>
      <c r="B14" s="3"/>
      <c r="C14" s="3" t="s">
        <v>263</v>
      </c>
      <c r="E14" s="17">
        <v>412836</v>
      </c>
      <c r="F14" s="17"/>
      <c r="G14" s="17">
        <v>254665</v>
      </c>
      <c r="H14" s="17"/>
      <c r="I14" s="17">
        <v>5300184</v>
      </c>
      <c r="J14" s="17"/>
      <c r="K14" s="50">
        <v>48038</v>
      </c>
      <c r="L14" s="17"/>
      <c r="M14" s="17">
        <v>0</v>
      </c>
      <c r="N14" s="17"/>
      <c r="O14" s="17">
        <v>517729</v>
      </c>
      <c r="P14" s="17"/>
      <c r="Q14" s="17">
        <v>689452</v>
      </c>
      <c r="R14" s="17"/>
      <c r="S14" s="17">
        <v>51365</v>
      </c>
      <c r="T14" s="17"/>
      <c r="U14" s="17">
        <v>760652</v>
      </c>
      <c r="V14" s="17"/>
      <c r="W14" s="17">
        <v>445736</v>
      </c>
      <c r="X14" s="17"/>
      <c r="Y14" s="17">
        <v>0</v>
      </c>
      <c r="Z14" s="17"/>
      <c r="AA14" s="17">
        <v>1162061</v>
      </c>
      <c r="AB14" s="17"/>
      <c r="AC14" s="3" t="s">
        <v>288</v>
      </c>
      <c r="AD14" s="3"/>
      <c r="AE14" s="3" t="s">
        <v>263</v>
      </c>
      <c r="AG14" s="17">
        <v>2297</v>
      </c>
      <c r="AH14" s="17"/>
      <c r="AI14" s="17">
        <v>374255</v>
      </c>
      <c r="AJ14" s="17"/>
      <c r="AK14" s="17"/>
      <c r="AL14" s="62"/>
      <c r="AM14" s="17">
        <v>0</v>
      </c>
      <c r="AN14" s="17"/>
      <c r="AO14" s="17">
        <v>288909</v>
      </c>
      <c r="AP14" s="17"/>
      <c r="AQ14" s="17">
        <v>32883</v>
      </c>
      <c r="AR14" s="17"/>
      <c r="AS14" s="17">
        <v>581507</v>
      </c>
      <c r="AT14" s="17"/>
      <c r="AU14" s="17">
        <v>0</v>
      </c>
      <c r="AV14" s="17"/>
      <c r="AW14" s="17">
        <v>80000</v>
      </c>
      <c r="AX14" s="17"/>
      <c r="AY14" s="17">
        <v>0</v>
      </c>
      <c r="AZ14" s="17"/>
      <c r="BA14" s="17">
        <v>0</v>
      </c>
      <c r="BB14" s="17"/>
      <c r="BC14" s="60">
        <f>SUM(E14:BA14)</f>
        <v>11002569</v>
      </c>
      <c r="BD14" s="3" t="s">
        <v>288</v>
      </c>
      <c r="BE14" s="3"/>
      <c r="BF14" s="3" t="s">
        <v>263</v>
      </c>
      <c r="BG14" s="17"/>
      <c r="BH14" s="17">
        <v>0</v>
      </c>
      <c r="BI14" s="17"/>
      <c r="BJ14" s="17">
        <v>0</v>
      </c>
      <c r="BK14" s="17"/>
      <c r="BL14" s="17">
        <v>0</v>
      </c>
      <c r="BM14" s="17"/>
      <c r="BN14" s="17">
        <v>0</v>
      </c>
      <c r="BO14" s="17"/>
      <c r="BP14" s="60">
        <f t="shared" ref="BP14:BP45" si="0">+BC14+BH14+BJ14+BN14+BL14</f>
        <v>11002569</v>
      </c>
      <c r="BQ14" s="17"/>
      <c r="BR14" s="60">
        <f>GovRev!AT14-BP14</f>
        <v>822676</v>
      </c>
      <c r="BS14" s="17"/>
      <c r="BT14" s="17">
        <v>5601679</v>
      </c>
      <c r="BU14" s="17"/>
      <c r="BV14" s="17">
        <v>0</v>
      </c>
      <c r="BW14" s="17"/>
      <c r="BX14" s="60">
        <f>+BT14+BR14+BV14</f>
        <v>6424355</v>
      </c>
      <c r="BY14" s="14"/>
      <c r="BZ14" s="14">
        <f>-BX14+GovBS!AC14</f>
        <v>0</v>
      </c>
    </row>
    <row r="15" spans="1:78" s="17" customFormat="1">
      <c r="A15" s="3" t="s">
        <v>241</v>
      </c>
      <c r="C15" s="17" t="s">
        <v>145</v>
      </c>
      <c r="E15" s="3">
        <v>509100</v>
      </c>
      <c r="F15" s="3"/>
      <c r="G15" s="3">
        <v>350660</v>
      </c>
      <c r="H15" s="3"/>
      <c r="I15" s="3">
        <v>2869610</v>
      </c>
      <c r="J15" s="3"/>
      <c r="K15" s="23">
        <v>1328762</v>
      </c>
      <c r="L15" s="3"/>
      <c r="M15" s="3">
        <v>3418</v>
      </c>
      <c r="N15" s="3"/>
      <c r="O15" s="3">
        <v>180194</v>
      </c>
      <c r="P15" s="3"/>
      <c r="Q15" s="3">
        <v>151880</v>
      </c>
      <c r="R15" s="3"/>
      <c r="S15" s="3">
        <v>72567</v>
      </c>
      <c r="T15" s="3"/>
      <c r="U15" s="3">
        <v>755487</v>
      </c>
      <c r="V15" s="3"/>
      <c r="W15" s="3">
        <v>433707</v>
      </c>
      <c r="X15" s="3"/>
      <c r="Y15" s="3">
        <v>4894</v>
      </c>
      <c r="Z15" s="3"/>
      <c r="AA15" s="3">
        <v>528294</v>
      </c>
      <c r="AC15" s="3" t="s">
        <v>241</v>
      </c>
      <c r="AD15" s="3"/>
      <c r="AE15" s="3" t="s">
        <v>145</v>
      </c>
      <c r="AF15" s="24"/>
      <c r="AG15" s="3">
        <v>18912</v>
      </c>
      <c r="AH15" s="3"/>
      <c r="AI15" s="3">
        <v>21399</v>
      </c>
      <c r="AJ15" s="3"/>
      <c r="AK15" s="3"/>
      <c r="AL15" s="27"/>
      <c r="AM15" s="3">
        <v>163808</v>
      </c>
      <c r="AN15" s="3"/>
      <c r="AO15" s="3">
        <v>435</v>
      </c>
      <c r="AP15" s="3"/>
      <c r="AQ15" s="3">
        <v>25431</v>
      </c>
      <c r="AR15" s="3"/>
      <c r="AS15" s="3">
        <v>77767</v>
      </c>
      <c r="AT15" s="3"/>
      <c r="AU15" s="3">
        <v>0</v>
      </c>
      <c r="AV15" s="3"/>
      <c r="AW15" s="3">
        <v>112394</v>
      </c>
      <c r="AX15" s="3"/>
      <c r="AY15" s="3">
        <v>37206</v>
      </c>
      <c r="AZ15" s="3"/>
      <c r="BA15" s="3">
        <v>0</v>
      </c>
      <c r="BB15" s="3"/>
      <c r="BC15" s="14">
        <f>SUM(E15:BA15)</f>
        <v>7645925</v>
      </c>
      <c r="BD15" s="3" t="s">
        <v>241</v>
      </c>
      <c r="BE15" s="3"/>
      <c r="BF15" s="3" t="s">
        <v>145</v>
      </c>
      <c r="BH15" s="3">
        <v>25000</v>
      </c>
      <c r="BI15" s="3"/>
      <c r="BJ15" s="3">
        <v>0</v>
      </c>
      <c r="BK15" s="3"/>
      <c r="BL15" s="3">
        <v>0</v>
      </c>
      <c r="BM15" s="3"/>
      <c r="BN15" s="3">
        <v>0</v>
      </c>
      <c r="BO15" s="3"/>
      <c r="BP15" s="14">
        <f t="shared" si="0"/>
        <v>7670925</v>
      </c>
      <c r="BQ15" s="3"/>
      <c r="BR15" s="14">
        <f>GovRev!AT15-BP15</f>
        <v>-482089</v>
      </c>
      <c r="BS15" s="3"/>
      <c r="BT15" s="3">
        <v>5618717</v>
      </c>
      <c r="BU15" s="3"/>
      <c r="BV15" s="3">
        <v>0</v>
      </c>
      <c r="BW15" s="3"/>
      <c r="BX15" s="14">
        <f>+BT15+BR15+BV15</f>
        <v>5136628</v>
      </c>
      <c r="BY15" s="14"/>
      <c r="BZ15" s="14">
        <f>-BX15+GovBS!AC15</f>
        <v>0</v>
      </c>
    </row>
    <row r="16" spans="1:78" s="13" customFormat="1">
      <c r="A16" s="3" t="s">
        <v>356</v>
      </c>
      <c r="C16" s="13" t="s">
        <v>146</v>
      </c>
      <c r="E16" s="3">
        <v>883795</v>
      </c>
      <c r="F16" s="3"/>
      <c r="G16" s="3">
        <v>492677</v>
      </c>
      <c r="H16" s="3"/>
      <c r="I16" s="3">
        <v>5076276</v>
      </c>
      <c r="J16" s="3"/>
      <c r="K16" s="23">
        <v>2333439</v>
      </c>
      <c r="L16" s="3"/>
      <c r="M16" s="3">
        <v>270933</v>
      </c>
      <c r="N16" s="3"/>
      <c r="O16" s="3">
        <v>560836</v>
      </c>
      <c r="P16" s="3"/>
      <c r="Q16" s="3">
        <v>1501611</v>
      </c>
      <c r="R16" s="3"/>
      <c r="S16" s="3">
        <v>51239</v>
      </c>
      <c r="T16" s="3"/>
      <c r="U16" s="3">
        <v>1057394</v>
      </c>
      <c r="V16" s="3"/>
      <c r="W16" s="3">
        <v>416709</v>
      </c>
      <c r="X16" s="3"/>
      <c r="Y16" s="3">
        <v>82627</v>
      </c>
      <c r="Z16" s="3"/>
      <c r="AA16" s="3">
        <v>1014194</v>
      </c>
      <c r="AB16" s="3"/>
      <c r="AC16" s="3" t="s">
        <v>356</v>
      </c>
      <c r="AE16" s="13" t="s">
        <v>146</v>
      </c>
      <c r="AG16" s="3">
        <v>23937</v>
      </c>
      <c r="AH16" s="3"/>
      <c r="AI16" s="3">
        <v>25832</v>
      </c>
      <c r="AJ16" s="3"/>
      <c r="AK16" s="3"/>
      <c r="AL16" s="3"/>
      <c r="AM16" s="3">
        <v>266629</v>
      </c>
      <c r="AN16" s="3"/>
      <c r="AO16" s="3">
        <v>742</v>
      </c>
      <c r="AP16" s="3"/>
      <c r="AQ16" s="3">
        <v>18620</v>
      </c>
      <c r="AR16" s="3"/>
      <c r="AS16" s="3">
        <v>2170579</v>
      </c>
      <c r="AT16" s="3"/>
      <c r="AU16" s="3">
        <v>0</v>
      </c>
      <c r="AV16" s="3"/>
      <c r="AW16" s="3">
        <v>0</v>
      </c>
      <c r="AX16" s="3"/>
      <c r="AY16" s="3">
        <v>0</v>
      </c>
      <c r="AZ16" s="3"/>
      <c r="BA16" s="3">
        <v>0</v>
      </c>
      <c r="BB16" s="3"/>
      <c r="BC16" s="14">
        <f>SUM(E16:BA16)</f>
        <v>16248069</v>
      </c>
      <c r="BD16" s="3" t="s">
        <v>356</v>
      </c>
      <c r="BF16" s="13" t="s">
        <v>146</v>
      </c>
      <c r="BG16" s="3"/>
      <c r="BH16" s="3">
        <v>500000</v>
      </c>
      <c r="BI16" s="3"/>
      <c r="BJ16" s="3">
        <v>0</v>
      </c>
      <c r="BK16" s="3"/>
      <c r="BL16" s="3">
        <v>0</v>
      </c>
      <c r="BM16" s="3"/>
      <c r="BN16" s="3">
        <v>0</v>
      </c>
      <c r="BO16" s="3"/>
      <c r="BP16" s="14">
        <f t="shared" si="0"/>
        <v>16748069</v>
      </c>
      <c r="BQ16" s="3"/>
      <c r="BR16" s="14">
        <f>GovRev!AT16-BP16</f>
        <v>-1522507</v>
      </c>
      <c r="BS16" s="3"/>
      <c r="BT16" s="3">
        <v>11871821</v>
      </c>
      <c r="BU16" s="3"/>
      <c r="BV16" s="3">
        <v>0</v>
      </c>
      <c r="BW16" s="3"/>
      <c r="BX16" s="14">
        <f>+BT16+BR16+BV16</f>
        <v>10349314</v>
      </c>
      <c r="BY16" s="14"/>
      <c r="BZ16" s="14">
        <f>-BX16+GovBS!AC16</f>
        <v>0</v>
      </c>
    </row>
    <row r="17" spans="1:78" s="13" customFormat="1">
      <c r="A17" s="3" t="s">
        <v>294</v>
      </c>
      <c r="C17" s="13" t="s">
        <v>148</v>
      </c>
      <c r="E17" s="3">
        <v>0</v>
      </c>
      <c r="F17" s="3"/>
      <c r="G17" s="3">
        <v>550077</v>
      </c>
      <c r="H17" s="3"/>
      <c r="I17" s="3">
        <v>3515873</v>
      </c>
      <c r="J17" s="3"/>
      <c r="K17" s="23">
        <v>850920</v>
      </c>
      <c r="L17" s="3"/>
      <c r="M17" s="3">
        <v>0</v>
      </c>
      <c r="N17" s="3"/>
      <c r="O17" s="3">
        <v>1058321</v>
      </c>
      <c r="P17" s="3"/>
      <c r="Q17" s="3">
        <v>157502</v>
      </c>
      <c r="R17" s="3"/>
      <c r="S17" s="3">
        <v>151325</v>
      </c>
      <c r="T17" s="3"/>
      <c r="U17" s="3">
        <v>1511592</v>
      </c>
      <c r="V17" s="3"/>
      <c r="W17" s="3">
        <v>520476</v>
      </c>
      <c r="X17" s="3"/>
      <c r="Y17" s="3">
        <v>525</v>
      </c>
      <c r="Z17" s="3"/>
      <c r="AA17" s="3">
        <v>1219737</v>
      </c>
      <c r="AB17" s="3"/>
      <c r="AC17" s="3" t="s">
        <v>294</v>
      </c>
      <c r="AE17" s="13" t="s">
        <v>148</v>
      </c>
      <c r="AG17" s="3">
        <v>12288</v>
      </c>
      <c r="AH17" s="3"/>
      <c r="AI17" s="3">
        <v>498114</v>
      </c>
      <c r="AJ17" s="3"/>
      <c r="AK17" s="3"/>
      <c r="AL17" s="3"/>
      <c r="AM17" s="3">
        <v>0</v>
      </c>
      <c r="AN17" s="3"/>
      <c r="AO17" s="3">
        <v>194498</v>
      </c>
      <c r="AP17" s="3"/>
      <c r="AQ17" s="3">
        <v>498</v>
      </c>
      <c r="AR17" s="3"/>
      <c r="AS17" s="3">
        <v>3610543</v>
      </c>
      <c r="AT17" s="3"/>
      <c r="AU17" s="3">
        <v>0</v>
      </c>
      <c r="AV17" s="3"/>
      <c r="AW17" s="3">
        <v>155000</v>
      </c>
      <c r="AX17" s="3"/>
      <c r="AY17" s="3">
        <v>87322</v>
      </c>
      <c r="AZ17" s="3"/>
      <c r="BA17" s="3">
        <v>0</v>
      </c>
      <c r="BB17" s="3"/>
      <c r="BC17" s="14">
        <f t="shared" ref="BC17:BC64" si="1">SUM(E17:BA17)</f>
        <v>14094611</v>
      </c>
      <c r="BD17" s="3" t="s">
        <v>294</v>
      </c>
      <c r="BF17" s="13" t="s">
        <v>148</v>
      </c>
      <c r="BG17" s="3"/>
      <c r="BH17" s="3">
        <v>77500</v>
      </c>
      <c r="BI17" s="3"/>
      <c r="BJ17" s="3">
        <v>0</v>
      </c>
      <c r="BK17" s="3"/>
      <c r="BL17" s="3">
        <v>0</v>
      </c>
      <c r="BM17" s="3"/>
      <c r="BN17" s="3">
        <v>0</v>
      </c>
      <c r="BO17" s="3"/>
      <c r="BP17" s="14">
        <f t="shared" si="0"/>
        <v>14172111</v>
      </c>
      <c r="BQ17" s="3"/>
      <c r="BR17" s="14">
        <f>GovRev!AT17-BP17</f>
        <v>92942</v>
      </c>
      <c r="BS17" s="3"/>
      <c r="BT17" s="3">
        <v>6682340</v>
      </c>
      <c r="BU17" s="3"/>
      <c r="BV17" s="3">
        <v>0</v>
      </c>
      <c r="BW17" s="3"/>
      <c r="BX17" s="14">
        <f t="shared" ref="BX17:BX81" si="2">+BT17+BR17+BV17</f>
        <v>6775282</v>
      </c>
      <c r="BY17" s="14"/>
      <c r="BZ17" s="14">
        <f>-BX17+GovBS!AC17</f>
        <v>0</v>
      </c>
    </row>
    <row r="18" spans="1:78" s="13" customFormat="1">
      <c r="A18" s="3" t="s">
        <v>295</v>
      </c>
      <c r="C18" s="13" t="s">
        <v>151</v>
      </c>
      <c r="E18" s="3">
        <v>224808</v>
      </c>
      <c r="F18" s="3"/>
      <c r="G18" s="3">
        <v>0</v>
      </c>
      <c r="H18" s="3"/>
      <c r="I18" s="3">
        <v>3330855</v>
      </c>
      <c r="J18" s="3"/>
      <c r="K18" s="23">
        <v>0</v>
      </c>
      <c r="L18" s="3"/>
      <c r="M18" s="3">
        <v>123724</v>
      </c>
      <c r="N18" s="3"/>
      <c r="O18" s="3">
        <v>686034</v>
      </c>
      <c r="P18" s="3"/>
      <c r="Q18" s="3">
        <v>61910</v>
      </c>
      <c r="R18" s="3"/>
      <c r="S18" s="3">
        <v>36279</v>
      </c>
      <c r="T18" s="3"/>
      <c r="U18" s="3">
        <v>568773</v>
      </c>
      <c r="V18" s="3"/>
      <c r="W18" s="3">
        <v>276676</v>
      </c>
      <c r="X18" s="3"/>
      <c r="Y18" s="3">
        <v>0</v>
      </c>
      <c r="Z18" s="3"/>
      <c r="AA18" s="3">
        <v>566121</v>
      </c>
      <c r="AB18" s="3"/>
      <c r="AC18" s="3" t="s">
        <v>295</v>
      </c>
      <c r="AE18" s="13" t="s">
        <v>151</v>
      </c>
      <c r="AG18" s="3">
        <v>0</v>
      </c>
      <c r="AH18" s="3"/>
      <c r="AI18" s="3">
        <v>148452</v>
      </c>
      <c r="AJ18" s="3"/>
      <c r="AK18" s="3"/>
      <c r="AL18" s="3"/>
      <c r="AM18" s="3">
        <v>186845</v>
      </c>
      <c r="AN18" s="3"/>
      <c r="AO18" s="3">
        <v>0</v>
      </c>
      <c r="AP18" s="3"/>
      <c r="AQ18" s="3">
        <v>27002</v>
      </c>
      <c r="AR18" s="3"/>
      <c r="AS18" s="3">
        <v>0</v>
      </c>
      <c r="AT18" s="3"/>
      <c r="AU18" s="3">
        <v>0</v>
      </c>
      <c r="AV18" s="3"/>
      <c r="AW18" s="3">
        <v>33333</v>
      </c>
      <c r="AX18" s="3"/>
      <c r="AY18" s="3">
        <v>0</v>
      </c>
      <c r="AZ18" s="3"/>
      <c r="BA18" s="3">
        <v>0</v>
      </c>
      <c r="BB18" s="3"/>
      <c r="BC18" s="14">
        <f t="shared" si="1"/>
        <v>6270812</v>
      </c>
      <c r="BD18" s="3" t="s">
        <v>295</v>
      </c>
      <c r="BF18" s="13" t="s">
        <v>151</v>
      </c>
      <c r="BG18" s="3"/>
      <c r="BH18" s="3">
        <v>0</v>
      </c>
      <c r="BI18" s="3"/>
      <c r="BJ18" s="3">
        <v>0</v>
      </c>
      <c r="BK18" s="3"/>
      <c r="BL18" s="3">
        <v>0</v>
      </c>
      <c r="BM18" s="3"/>
      <c r="BN18" s="3">
        <v>0</v>
      </c>
      <c r="BO18" s="3"/>
      <c r="BP18" s="14">
        <f t="shared" si="0"/>
        <v>6270812</v>
      </c>
      <c r="BQ18" s="3"/>
      <c r="BR18" s="14">
        <f>GovRev!AT18-BP18</f>
        <v>440994</v>
      </c>
      <c r="BS18" s="3"/>
      <c r="BT18" s="3">
        <v>554030</v>
      </c>
      <c r="BU18" s="3"/>
      <c r="BV18" s="3">
        <v>0</v>
      </c>
      <c r="BW18" s="3"/>
      <c r="BX18" s="14">
        <f t="shared" si="2"/>
        <v>995024</v>
      </c>
      <c r="BY18" s="14"/>
      <c r="BZ18" s="14">
        <f>-BX18+GovBS!AC18</f>
        <v>0</v>
      </c>
    </row>
    <row r="19" spans="1:78" s="13" customFormat="1">
      <c r="A19" s="3" t="s">
        <v>222</v>
      </c>
      <c r="C19" s="13" t="s">
        <v>200</v>
      </c>
      <c r="E19" s="3">
        <v>1338572</v>
      </c>
      <c r="F19" s="3"/>
      <c r="G19" s="3">
        <v>661294</v>
      </c>
      <c r="H19" s="3"/>
      <c r="I19" s="3">
        <v>5920437</v>
      </c>
      <c r="J19" s="3"/>
      <c r="K19" s="23">
        <v>1361253</v>
      </c>
      <c r="L19" s="3"/>
      <c r="M19" s="3">
        <v>0</v>
      </c>
      <c r="N19" s="3"/>
      <c r="O19" s="3">
        <v>903498</v>
      </c>
      <c r="P19" s="3"/>
      <c r="Q19" s="3">
        <v>673052</v>
      </c>
      <c r="R19" s="3"/>
      <c r="S19" s="3">
        <v>169173</v>
      </c>
      <c r="T19" s="3"/>
      <c r="U19" s="3">
        <v>801442</v>
      </c>
      <c r="V19" s="3"/>
      <c r="W19" s="3">
        <v>415811</v>
      </c>
      <c r="X19" s="3"/>
      <c r="Y19" s="3">
        <v>0</v>
      </c>
      <c r="Z19" s="3"/>
      <c r="AA19" s="3">
        <v>1440003</v>
      </c>
      <c r="AB19" s="3"/>
      <c r="AC19" s="3" t="s">
        <v>222</v>
      </c>
      <c r="AE19" s="13" t="s">
        <v>200</v>
      </c>
      <c r="AG19" s="3">
        <v>1677</v>
      </c>
      <c r="AH19" s="3"/>
      <c r="AI19" s="3">
        <v>188992</v>
      </c>
      <c r="AJ19" s="3"/>
      <c r="AK19" s="3"/>
      <c r="AL19" s="3"/>
      <c r="AM19" s="3">
        <v>481379</v>
      </c>
      <c r="AN19" s="3"/>
      <c r="AO19" s="3">
        <v>0</v>
      </c>
      <c r="AP19" s="3"/>
      <c r="AQ19" s="3">
        <v>16982</v>
      </c>
      <c r="AR19" s="3"/>
      <c r="AS19" s="3">
        <v>558924</v>
      </c>
      <c r="AT19" s="3"/>
      <c r="AU19" s="3">
        <v>0</v>
      </c>
      <c r="AV19" s="3"/>
      <c r="AW19" s="3">
        <v>48957</v>
      </c>
      <c r="AX19" s="3"/>
      <c r="AY19" s="3">
        <v>8287</v>
      </c>
      <c r="AZ19" s="3"/>
      <c r="BA19" s="3">
        <v>0</v>
      </c>
      <c r="BB19" s="3"/>
      <c r="BC19" s="14">
        <f t="shared" si="1"/>
        <v>14989733</v>
      </c>
      <c r="BD19" s="3" t="s">
        <v>222</v>
      </c>
      <c r="BF19" s="13" t="s">
        <v>200</v>
      </c>
      <c r="BG19" s="3"/>
      <c r="BH19" s="3">
        <v>50000</v>
      </c>
      <c r="BI19" s="3"/>
      <c r="BJ19" s="3">
        <v>0</v>
      </c>
      <c r="BK19" s="3"/>
      <c r="BL19" s="3">
        <v>0</v>
      </c>
      <c r="BM19" s="3"/>
      <c r="BN19" s="3">
        <v>0</v>
      </c>
      <c r="BO19" s="3"/>
      <c r="BP19" s="14">
        <f t="shared" si="0"/>
        <v>15039733</v>
      </c>
      <c r="BQ19" s="3"/>
      <c r="BR19" s="14">
        <f>GovRev!AT19-BP19</f>
        <v>243592</v>
      </c>
      <c r="BS19" s="3"/>
      <c r="BT19" s="3">
        <v>18547368</v>
      </c>
      <c r="BU19" s="3"/>
      <c r="BV19" s="3">
        <v>0</v>
      </c>
      <c r="BW19" s="3"/>
      <c r="BX19" s="14">
        <f t="shared" si="2"/>
        <v>18790960</v>
      </c>
      <c r="BY19" s="14"/>
      <c r="BZ19" s="14">
        <f>-BX19+GovBS!AC19</f>
        <v>0</v>
      </c>
    </row>
    <row r="20" spans="1:78" s="13" customFormat="1">
      <c r="A20" s="3" t="s">
        <v>366</v>
      </c>
      <c r="C20" s="13" t="s">
        <v>149</v>
      </c>
      <c r="E20" s="3">
        <v>442474</v>
      </c>
      <c r="F20" s="3"/>
      <c r="G20" s="3">
        <v>23026309</v>
      </c>
      <c r="H20" s="3"/>
      <c r="I20" s="3">
        <v>0</v>
      </c>
      <c r="J20" s="3"/>
      <c r="K20" s="23">
        <v>0</v>
      </c>
      <c r="L20" s="3"/>
      <c r="M20" s="3">
        <v>174654</v>
      </c>
      <c r="N20" s="3"/>
      <c r="O20" s="3">
        <v>1415518</v>
      </c>
      <c r="P20" s="3"/>
      <c r="Q20" s="3">
        <v>3155003</v>
      </c>
      <c r="R20" s="3"/>
      <c r="S20" s="3">
        <v>110795</v>
      </c>
      <c r="T20" s="3"/>
      <c r="U20" s="3">
        <v>2747910</v>
      </c>
      <c r="V20" s="3"/>
      <c r="W20" s="3">
        <v>1165104</v>
      </c>
      <c r="X20" s="3"/>
      <c r="Y20" s="3">
        <v>61069</v>
      </c>
      <c r="Z20" s="3"/>
      <c r="AA20" s="3">
        <v>3701102</v>
      </c>
      <c r="AB20" s="3"/>
      <c r="AC20" s="3" t="s">
        <v>366</v>
      </c>
      <c r="AE20" s="13" t="s">
        <v>149</v>
      </c>
      <c r="AG20" s="3">
        <v>76044</v>
      </c>
      <c r="AH20" s="3"/>
      <c r="AI20" s="3">
        <v>3235035</v>
      </c>
      <c r="AJ20" s="3"/>
      <c r="AK20" s="3"/>
      <c r="AL20" s="3"/>
      <c r="AM20" s="3">
        <v>0</v>
      </c>
      <c r="AN20" s="3"/>
      <c r="AO20" s="3">
        <v>18740</v>
      </c>
      <c r="AP20" s="3"/>
      <c r="AQ20" s="3">
        <v>402495</v>
      </c>
      <c r="AR20" s="3"/>
      <c r="AS20" s="3">
        <v>281567</v>
      </c>
      <c r="AT20" s="3"/>
      <c r="AU20" s="3">
        <v>0</v>
      </c>
      <c r="AV20" s="3"/>
      <c r="AW20" s="3">
        <v>0</v>
      </c>
      <c r="AX20" s="3"/>
      <c r="AY20" s="3">
        <v>67944</v>
      </c>
      <c r="AZ20" s="3"/>
      <c r="BA20" s="3">
        <v>0</v>
      </c>
      <c r="BB20" s="3"/>
      <c r="BC20" s="14">
        <f t="shared" si="1"/>
        <v>40081763</v>
      </c>
      <c r="BD20" s="3" t="s">
        <v>366</v>
      </c>
      <c r="BF20" s="13" t="s">
        <v>149</v>
      </c>
      <c r="BG20" s="3"/>
      <c r="BH20" s="3">
        <v>2261181</v>
      </c>
      <c r="BI20" s="3"/>
      <c r="BJ20" s="3">
        <v>0</v>
      </c>
      <c r="BK20" s="3"/>
      <c r="BL20" s="3">
        <v>0</v>
      </c>
      <c r="BM20" s="3"/>
      <c r="BN20" s="3">
        <v>657123</v>
      </c>
      <c r="BO20" s="3"/>
      <c r="BP20" s="14">
        <f t="shared" si="0"/>
        <v>43000067</v>
      </c>
      <c r="BQ20" s="3"/>
      <c r="BR20" s="14">
        <f>GovRev!AT20-BP20</f>
        <v>489683</v>
      </c>
      <c r="BS20" s="3"/>
      <c r="BT20" s="3">
        <v>9817255</v>
      </c>
      <c r="BU20" s="3"/>
      <c r="BV20" s="3">
        <v>0</v>
      </c>
      <c r="BW20" s="3"/>
      <c r="BX20" s="14">
        <f t="shared" si="2"/>
        <v>10306938</v>
      </c>
      <c r="BY20" s="14"/>
      <c r="BZ20" s="14">
        <f>-BX20+GovBS!AC20</f>
        <v>0</v>
      </c>
    </row>
    <row r="21" spans="1:78" s="13" customFormat="1">
      <c r="A21" s="3" t="s">
        <v>278</v>
      </c>
      <c r="C21" s="13" t="s">
        <v>175</v>
      </c>
      <c r="E21" s="3">
        <v>176076</v>
      </c>
      <c r="F21" s="3"/>
      <c r="G21" s="3">
        <v>544083</v>
      </c>
      <c r="H21" s="3"/>
      <c r="I21" s="3">
        <v>4504887</v>
      </c>
      <c r="J21" s="3"/>
      <c r="K21" s="23">
        <v>2088497</v>
      </c>
      <c r="L21" s="3"/>
      <c r="M21" s="3">
        <v>0</v>
      </c>
      <c r="N21" s="3"/>
      <c r="O21" s="3">
        <v>594630</v>
      </c>
      <c r="P21" s="3"/>
      <c r="Q21" s="3">
        <v>755304</v>
      </c>
      <c r="R21" s="3"/>
      <c r="S21" s="3">
        <v>21452</v>
      </c>
      <c r="T21" s="3"/>
      <c r="U21" s="3">
        <v>934612</v>
      </c>
      <c r="V21" s="3"/>
      <c r="W21" s="3">
        <v>395383</v>
      </c>
      <c r="X21" s="3"/>
      <c r="Y21" s="3">
        <v>294453</v>
      </c>
      <c r="Z21" s="3"/>
      <c r="AA21" s="3">
        <v>1415433</v>
      </c>
      <c r="AB21" s="3"/>
      <c r="AC21" s="3" t="s">
        <v>278</v>
      </c>
      <c r="AE21" s="13" t="s">
        <v>175</v>
      </c>
      <c r="AG21" s="3">
        <v>5566</v>
      </c>
      <c r="AH21" s="3"/>
      <c r="AI21" s="3">
        <v>858937</v>
      </c>
      <c r="AJ21" s="3"/>
      <c r="AK21" s="3"/>
      <c r="AL21" s="3"/>
      <c r="AM21" s="3">
        <v>273753</v>
      </c>
      <c r="AN21" s="3"/>
      <c r="AO21" s="3">
        <v>320</v>
      </c>
      <c r="AP21" s="3"/>
      <c r="AQ21" s="3">
        <v>59923</v>
      </c>
      <c r="AR21" s="3"/>
      <c r="AS21" s="3">
        <v>0</v>
      </c>
      <c r="AT21" s="3"/>
      <c r="AU21" s="3">
        <v>0</v>
      </c>
      <c r="AV21" s="3"/>
      <c r="AW21" s="3">
        <v>1175511</v>
      </c>
      <c r="AX21" s="3"/>
      <c r="AY21" s="3">
        <v>1011250</v>
      </c>
      <c r="AZ21" s="3"/>
      <c r="BA21" s="3">
        <v>0</v>
      </c>
      <c r="BB21" s="3"/>
      <c r="BC21" s="14">
        <f>SUM(E21:BA21)</f>
        <v>15110070</v>
      </c>
      <c r="BD21" s="3" t="s">
        <v>278</v>
      </c>
      <c r="BF21" s="13" t="s">
        <v>175</v>
      </c>
      <c r="BG21" s="3"/>
      <c r="BH21" s="3">
        <v>184637</v>
      </c>
      <c r="BI21" s="3"/>
      <c r="BJ21" s="3">
        <v>0</v>
      </c>
      <c r="BK21" s="3"/>
      <c r="BL21" s="3">
        <v>0</v>
      </c>
      <c r="BM21" s="3"/>
      <c r="BN21" s="3">
        <v>0</v>
      </c>
      <c r="BO21" s="3"/>
      <c r="BP21" s="14">
        <f>+BC21+BH21+BJ21+BN21+BL21</f>
        <v>15294707</v>
      </c>
      <c r="BQ21" s="3"/>
      <c r="BR21" s="14">
        <f>GovRev!AT21-BP21</f>
        <v>2401748</v>
      </c>
      <c r="BS21" s="3"/>
      <c r="BT21" s="3">
        <v>5194212</v>
      </c>
      <c r="BU21" s="3"/>
      <c r="BV21" s="3">
        <v>0</v>
      </c>
      <c r="BW21" s="3"/>
      <c r="BX21" s="14">
        <f>+BT21+BR21+BV21</f>
        <v>7595960</v>
      </c>
      <c r="BY21" s="14"/>
      <c r="BZ21" s="14">
        <f>-BX21+GovBS!AC21</f>
        <v>0</v>
      </c>
    </row>
    <row r="22" spans="1:78" s="13" customFormat="1" hidden="1">
      <c r="A22" s="3" t="s">
        <v>276</v>
      </c>
      <c r="C22" s="13" t="s">
        <v>216</v>
      </c>
      <c r="E22" s="3">
        <v>0</v>
      </c>
      <c r="F22" s="3"/>
      <c r="G22" s="3">
        <v>0</v>
      </c>
      <c r="H22" s="3"/>
      <c r="I22" s="3">
        <v>0</v>
      </c>
      <c r="J22" s="3"/>
      <c r="K22" s="3">
        <v>0</v>
      </c>
      <c r="L22" s="3"/>
      <c r="M22" s="3">
        <v>0</v>
      </c>
      <c r="N22" s="3"/>
      <c r="O22" s="3">
        <v>0</v>
      </c>
      <c r="P22" s="3"/>
      <c r="Q22" s="3">
        <v>0</v>
      </c>
      <c r="R22" s="3"/>
      <c r="S22" s="3">
        <v>0</v>
      </c>
      <c r="T22" s="3"/>
      <c r="U22" s="3">
        <v>0</v>
      </c>
      <c r="V22" s="3"/>
      <c r="W22" s="3">
        <v>0</v>
      </c>
      <c r="X22" s="3"/>
      <c r="Y22" s="3">
        <v>0</v>
      </c>
      <c r="Z22" s="3"/>
      <c r="AA22" s="3">
        <v>0</v>
      </c>
      <c r="AB22" s="3"/>
      <c r="AC22" s="3" t="s">
        <v>276</v>
      </c>
      <c r="AE22" s="13" t="s">
        <v>216</v>
      </c>
      <c r="AG22" s="3">
        <v>0</v>
      </c>
      <c r="AH22" s="3"/>
      <c r="AI22" s="3">
        <v>0</v>
      </c>
      <c r="AJ22" s="3"/>
      <c r="AK22" s="3"/>
      <c r="AL22" s="3"/>
      <c r="AM22" s="3">
        <v>0</v>
      </c>
      <c r="AN22" s="3"/>
      <c r="AO22" s="3">
        <v>0</v>
      </c>
      <c r="AP22" s="3"/>
      <c r="AQ22" s="3">
        <v>0</v>
      </c>
      <c r="AR22" s="3"/>
      <c r="AS22" s="3">
        <v>0</v>
      </c>
      <c r="AT22" s="3"/>
      <c r="AU22" s="3">
        <v>0</v>
      </c>
      <c r="AV22" s="3"/>
      <c r="AW22" s="3">
        <v>0</v>
      </c>
      <c r="AX22" s="3"/>
      <c r="AY22" s="3">
        <v>0</v>
      </c>
      <c r="AZ22" s="3"/>
      <c r="BA22" s="3"/>
      <c r="BB22" s="3"/>
      <c r="BC22" s="14">
        <f t="shared" si="1"/>
        <v>0</v>
      </c>
      <c r="BD22" s="3" t="s">
        <v>276</v>
      </c>
      <c r="BF22" s="13" t="s">
        <v>216</v>
      </c>
      <c r="BG22" s="3"/>
      <c r="BH22" s="3">
        <v>0</v>
      </c>
      <c r="BI22" s="3"/>
      <c r="BJ22" s="3"/>
      <c r="BK22" s="3"/>
      <c r="BL22" s="3"/>
      <c r="BM22" s="3"/>
      <c r="BN22" s="3">
        <v>0</v>
      </c>
      <c r="BO22" s="3"/>
      <c r="BP22" s="14">
        <f t="shared" si="0"/>
        <v>0</v>
      </c>
      <c r="BQ22" s="3"/>
      <c r="BR22" s="14">
        <f>GovRev!AT22-BP22</f>
        <v>0</v>
      </c>
      <c r="BS22" s="3"/>
      <c r="BT22" s="3"/>
      <c r="BU22" s="3"/>
      <c r="BV22" s="3"/>
      <c r="BW22" s="3"/>
      <c r="BX22" s="14">
        <f t="shared" si="2"/>
        <v>0</v>
      </c>
      <c r="BY22" s="14"/>
      <c r="BZ22" s="14">
        <f>-BX22+GovBS!AC22</f>
        <v>0</v>
      </c>
    </row>
    <row r="23" spans="1:78" s="13" customFormat="1">
      <c r="A23" s="3" t="s">
        <v>365</v>
      </c>
      <c r="C23" s="13" t="s">
        <v>158</v>
      </c>
      <c r="E23" s="3">
        <v>539383</v>
      </c>
      <c r="F23" s="3"/>
      <c r="G23" s="3">
        <v>165818</v>
      </c>
      <c r="H23" s="3"/>
      <c r="I23" s="3">
        <v>1829524</v>
      </c>
      <c r="J23" s="3"/>
      <c r="K23" s="3">
        <v>1079973</v>
      </c>
      <c r="L23" s="3"/>
      <c r="M23" s="3">
        <v>0</v>
      </c>
      <c r="N23" s="3"/>
      <c r="O23" s="3">
        <v>384676</v>
      </c>
      <c r="P23" s="3"/>
      <c r="Q23" s="3">
        <v>476817</v>
      </c>
      <c r="R23" s="3"/>
      <c r="S23" s="3">
        <v>27543</v>
      </c>
      <c r="T23" s="3"/>
      <c r="U23" s="3">
        <v>897102</v>
      </c>
      <c r="V23" s="3"/>
      <c r="W23" s="3">
        <v>332380</v>
      </c>
      <c r="X23" s="3"/>
      <c r="Y23" s="3">
        <v>0</v>
      </c>
      <c r="Z23" s="3"/>
      <c r="AA23" s="3">
        <v>750809</v>
      </c>
      <c r="AB23" s="3"/>
      <c r="AC23" s="3" t="s">
        <v>365</v>
      </c>
      <c r="AE23" s="13" t="s">
        <v>158</v>
      </c>
      <c r="AG23" s="3">
        <v>0</v>
      </c>
      <c r="AH23" s="3"/>
      <c r="AI23" s="3">
        <v>20316</v>
      </c>
      <c r="AJ23" s="3"/>
      <c r="AK23" s="3"/>
      <c r="AL23" s="3"/>
      <c r="AM23" s="3">
        <v>174351</v>
      </c>
      <c r="AN23" s="3"/>
      <c r="AO23" s="3">
        <v>0</v>
      </c>
      <c r="AP23" s="3"/>
      <c r="AQ23" s="3">
        <v>31566</v>
      </c>
      <c r="AR23" s="3"/>
      <c r="AS23" s="3">
        <v>2307255</v>
      </c>
      <c r="AT23" s="3"/>
      <c r="AU23" s="3">
        <v>0</v>
      </c>
      <c r="AV23" s="3"/>
      <c r="AW23" s="3">
        <v>0</v>
      </c>
      <c r="AX23" s="3"/>
      <c r="AY23" s="3">
        <v>0</v>
      </c>
      <c r="AZ23" s="3"/>
      <c r="BA23" s="3">
        <v>0</v>
      </c>
      <c r="BB23" s="3"/>
      <c r="BC23" s="14">
        <f t="shared" si="1"/>
        <v>9017513</v>
      </c>
      <c r="BD23" s="3" t="s">
        <v>365</v>
      </c>
      <c r="BF23" s="13" t="s">
        <v>158</v>
      </c>
      <c r="BG23" s="3"/>
      <c r="BH23" s="3">
        <v>1700000</v>
      </c>
      <c r="BI23" s="3"/>
      <c r="BJ23" s="3">
        <v>0</v>
      </c>
      <c r="BK23" s="3"/>
      <c r="BL23" s="3">
        <v>0</v>
      </c>
      <c r="BM23" s="3"/>
      <c r="BN23" s="3">
        <v>0</v>
      </c>
      <c r="BO23" s="3"/>
      <c r="BP23" s="14">
        <f t="shared" si="0"/>
        <v>10717513</v>
      </c>
      <c r="BQ23" s="3"/>
      <c r="BR23" s="14">
        <f>GovRev!AT23-BP23</f>
        <v>-176761</v>
      </c>
      <c r="BS23" s="3"/>
      <c r="BT23" s="3">
        <v>6537458</v>
      </c>
      <c r="BU23" s="3"/>
      <c r="BV23" s="3">
        <v>0</v>
      </c>
      <c r="BW23" s="3"/>
      <c r="BX23" s="14">
        <f t="shared" si="2"/>
        <v>6360697</v>
      </c>
      <c r="BY23" s="14"/>
      <c r="BZ23" s="14">
        <f>-BX23+GovBS!AC23</f>
        <v>0</v>
      </c>
    </row>
    <row r="24" spans="1:78" s="13" customFormat="1">
      <c r="A24" s="3" t="s">
        <v>245</v>
      </c>
      <c r="C24" s="13" t="s">
        <v>209</v>
      </c>
      <c r="E24" s="3">
        <v>503916</v>
      </c>
      <c r="F24" s="3"/>
      <c r="G24" s="3">
        <v>88546</v>
      </c>
      <c r="H24" s="3"/>
      <c r="I24" s="3">
        <v>1609792</v>
      </c>
      <c r="J24" s="3"/>
      <c r="K24" s="3">
        <v>0</v>
      </c>
      <c r="L24" s="3"/>
      <c r="M24" s="3">
        <v>0</v>
      </c>
      <c r="N24" s="3"/>
      <c r="O24" s="3">
        <v>188657</v>
      </c>
      <c r="P24" s="3"/>
      <c r="Q24" s="3">
        <v>197976</v>
      </c>
      <c r="R24" s="3"/>
      <c r="S24" s="3">
        <v>36648</v>
      </c>
      <c r="T24" s="3"/>
      <c r="U24" s="3">
        <v>223482</v>
      </c>
      <c r="V24" s="3"/>
      <c r="W24" s="3">
        <v>177035</v>
      </c>
      <c r="X24" s="3"/>
      <c r="Y24" s="3">
        <v>18387</v>
      </c>
      <c r="Z24" s="3"/>
      <c r="AA24" s="3">
        <v>485018</v>
      </c>
      <c r="AB24" s="3"/>
      <c r="AC24" s="3" t="s">
        <v>245</v>
      </c>
      <c r="AE24" s="13" t="s">
        <v>209</v>
      </c>
      <c r="AG24" s="3">
        <v>6059</v>
      </c>
      <c r="AH24" s="3"/>
      <c r="AI24" s="3">
        <v>23184</v>
      </c>
      <c r="AJ24" s="3"/>
      <c r="AK24" s="3"/>
      <c r="AL24" s="3"/>
      <c r="AM24" s="3">
        <v>124429</v>
      </c>
      <c r="AN24" s="3"/>
      <c r="AO24" s="3">
        <v>0</v>
      </c>
      <c r="AP24" s="3"/>
      <c r="AQ24" s="3">
        <v>14849</v>
      </c>
      <c r="AR24" s="3"/>
      <c r="AS24" s="3">
        <v>0</v>
      </c>
      <c r="AT24" s="3"/>
      <c r="AU24" s="3">
        <v>0</v>
      </c>
      <c r="AV24" s="3"/>
      <c r="AW24" s="3">
        <v>80319</v>
      </c>
      <c r="AX24" s="3"/>
      <c r="AY24" s="3">
        <v>16044</v>
      </c>
      <c r="AZ24" s="3"/>
      <c r="BA24" s="3">
        <v>0</v>
      </c>
      <c r="BB24" s="3"/>
      <c r="BC24" s="14">
        <f t="shared" si="1"/>
        <v>3794341</v>
      </c>
      <c r="BD24" s="3" t="s">
        <v>245</v>
      </c>
      <c r="BF24" s="13" t="s">
        <v>209</v>
      </c>
      <c r="BG24" s="3"/>
      <c r="BH24" s="3">
        <v>0</v>
      </c>
      <c r="BI24" s="3"/>
      <c r="BJ24" s="3">
        <v>0</v>
      </c>
      <c r="BK24" s="3"/>
      <c r="BL24" s="3">
        <v>0</v>
      </c>
      <c r="BM24" s="3"/>
      <c r="BN24" s="3">
        <v>0</v>
      </c>
      <c r="BO24" s="3"/>
      <c r="BP24" s="14">
        <f t="shared" si="0"/>
        <v>3794341</v>
      </c>
      <c r="BQ24" s="3"/>
      <c r="BR24" s="14">
        <f>GovRev!AT24-BP24</f>
        <v>279797</v>
      </c>
      <c r="BS24" s="3"/>
      <c r="BT24" s="3">
        <v>612343</v>
      </c>
      <c r="BU24" s="3"/>
      <c r="BV24" s="3">
        <v>0</v>
      </c>
      <c r="BW24" s="3"/>
      <c r="BX24" s="14">
        <f t="shared" si="2"/>
        <v>892140</v>
      </c>
      <c r="BY24" s="14"/>
      <c r="BZ24" s="14">
        <f>-BX24+GovBS!AC24</f>
        <v>0</v>
      </c>
    </row>
    <row r="25" spans="1:78" s="13" customFormat="1">
      <c r="A25" s="3" t="s">
        <v>243</v>
      </c>
      <c r="C25" s="13" t="s">
        <v>159</v>
      </c>
      <c r="E25" s="3">
        <v>792545</v>
      </c>
      <c r="F25" s="3"/>
      <c r="G25" s="3">
        <v>0</v>
      </c>
      <c r="H25" s="3"/>
      <c r="I25" s="3">
        <v>4941874</v>
      </c>
      <c r="J25" s="3"/>
      <c r="K25" s="3">
        <v>1553516</v>
      </c>
      <c r="L25" s="3"/>
      <c r="M25" s="3">
        <v>0</v>
      </c>
      <c r="N25" s="3"/>
      <c r="O25" s="3">
        <v>989955</v>
      </c>
      <c r="P25" s="3"/>
      <c r="Q25" s="3">
        <v>1273803</v>
      </c>
      <c r="R25" s="3"/>
      <c r="S25" s="3">
        <v>34049</v>
      </c>
      <c r="T25" s="3"/>
      <c r="U25" s="3">
        <v>2213561</v>
      </c>
      <c r="V25" s="3"/>
      <c r="W25" s="3">
        <v>945811</v>
      </c>
      <c r="X25" s="3"/>
      <c r="Y25" s="3">
        <v>667182</v>
      </c>
      <c r="Z25" s="3"/>
      <c r="AA25" s="3">
        <v>1151596</v>
      </c>
      <c r="AB25" s="3"/>
      <c r="AC25" s="3" t="s">
        <v>243</v>
      </c>
      <c r="AE25" s="13" t="s">
        <v>159</v>
      </c>
      <c r="AG25" s="3">
        <v>27380</v>
      </c>
      <c r="AH25" s="3"/>
      <c r="AI25" s="3">
        <v>292665</v>
      </c>
      <c r="AJ25" s="3"/>
      <c r="AK25" s="3"/>
      <c r="AL25" s="3"/>
      <c r="AM25" s="3">
        <v>125605</v>
      </c>
      <c r="AN25" s="3"/>
      <c r="AO25" s="3">
        <f>238811+1996811</f>
        <v>2235622</v>
      </c>
      <c r="AP25" s="3"/>
      <c r="AQ25" s="3">
        <v>30935</v>
      </c>
      <c r="AR25" s="3"/>
      <c r="AS25" s="3">
        <v>389250</v>
      </c>
      <c r="AT25" s="3"/>
      <c r="AU25" s="3">
        <v>0</v>
      </c>
      <c r="AV25" s="3"/>
      <c r="AW25" s="3">
        <v>49651</v>
      </c>
      <c r="AX25" s="3"/>
      <c r="AY25" s="3">
        <v>8742</v>
      </c>
      <c r="AZ25" s="3"/>
      <c r="BA25" s="3">
        <v>0</v>
      </c>
      <c r="BB25" s="3"/>
      <c r="BC25" s="14">
        <f t="shared" si="1"/>
        <v>17723742</v>
      </c>
      <c r="BD25" s="3" t="s">
        <v>243</v>
      </c>
      <c r="BF25" s="13" t="s">
        <v>159</v>
      </c>
      <c r="BG25" s="3"/>
      <c r="BH25" s="3">
        <v>267000</v>
      </c>
      <c r="BI25" s="3"/>
      <c r="BJ25" s="3">
        <v>0</v>
      </c>
      <c r="BK25" s="3"/>
      <c r="BL25" s="3">
        <v>0</v>
      </c>
      <c r="BM25" s="3"/>
      <c r="BN25" s="3">
        <v>0</v>
      </c>
      <c r="BO25" s="3"/>
      <c r="BP25" s="14">
        <f t="shared" si="0"/>
        <v>17990742</v>
      </c>
      <c r="BQ25" s="3"/>
      <c r="BR25" s="14">
        <f>GovRev!AT25-BP25</f>
        <v>-995851</v>
      </c>
      <c r="BS25" s="3"/>
      <c r="BT25" s="3">
        <v>14168191</v>
      </c>
      <c r="BU25" s="3"/>
      <c r="BV25" s="3">
        <v>-323</v>
      </c>
      <c r="BW25" s="3"/>
      <c r="BX25" s="14">
        <f t="shared" si="2"/>
        <v>13172017</v>
      </c>
      <c r="BY25" s="14"/>
      <c r="BZ25" s="14">
        <f>-BX25+GovBS!AC25</f>
        <v>0</v>
      </c>
    </row>
    <row r="26" spans="1:78" s="13" customFormat="1">
      <c r="A26" s="3" t="s">
        <v>242</v>
      </c>
      <c r="C26" s="13" t="s">
        <v>161</v>
      </c>
      <c r="E26" s="3">
        <v>1006298</v>
      </c>
      <c r="F26" s="3"/>
      <c r="G26" s="3">
        <v>187961</v>
      </c>
      <c r="H26" s="3"/>
      <c r="I26" s="3">
        <v>5419503</v>
      </c>
      <c r="J26" s="3"/>
      <c r="K26" s="3">
        <v>1285717</v>
      </c>
      <c r="L26" s="3"/>
      <c r="M26" s="3">
        <v>105374</v>
      </c>
      <c r="N26" s="3"/>
      <c r="O26" s="3">
        <v>736606</v>
      </c>
      <c r="P26" s="3"/>
      <c r="Q26" s="3">
        <v>540245</v>
      </c>
      <c r="R26" s="3"/>
      <c r="S26" s="3">
        <v>88990</v>
      </c>
      <c r="T26" s="3"/>
      <c r="U26" s="3">
        <v>1371576</v>
      </c>
      <c r="V26" s="3"/>
      <c r="W26" s="3">
        <v>740666</v>
      </c>
      <c r="X26" s="3"/>
      <c r="Y26" s="3">
        <v>0</v>
      </c>
      <c r="Z26" s="3"/>
      <c r="AA26" s="3">
        <v>1379559</v>
      </c>
      <c r="AB26" s="3"/>
      <c r="AC26" s="3" t="s">
        <v>242</v>
      </c>
      <c r="AE26" s="13" t="s">
        <v>161</v>
      </c>
      <c r="AG26" s="3">
        <v>37390</v>
      </c>
      <c r="AH26" s="3"/>
      <c r="AI26" s="3">
        <v>979462</v>
      </c>
      <c r="AJ26" s="3"/>
      <c r="AK26" s="3"/>
      <c r="AL26" s="3"/>
      <c r="AM26" s="3">
        <v>192828</v>
      </c>
      <c r="AN26" s="3"/>
      <c r="AO26" s="3">
        <v>7662</v>
      </c>
      <c r="AP26" s="3"/>
      <c r="AQ26" s="3">
        <v>17041</v>
      </c>
      <c r="AR26" s="3"/>
      <c r="AS26" s="3">
        <f>706989+151726</f>
        <v>858715</v>
      </c>
      <c r="AT26" s="3"/>
      <c r="AU26" s="3">
        <v>0</v>
      </c>
      <c r="AV26" s="3"/>
      <c r="AW26" s="3">
        <v>60817</v>
      </c>
      <c r="AX26" s="3"/>
      <c r="AY26" s="3">
        <v>6745</v>
      </c>
      <c r="AZ26" s="3"/>
      <c r="BA26" s="3">
        <v>0</v>
      </c>
      <c r="BB26" s="3"/>
      <c r="BC26" s="14">
        <f t="shared" si="1"/>
        <v>15023155</v>
      </c>
      <c r="BD26" s="3" t="s">
        <v>242</v>
      </c>
      <c r="BF26" s="13" t="s">
        <v>161</v>
      </c>
      <c r="BG26" s="3"/>
      <c r="BH26" s="3">
        <v>757330</v>
      </c>
      <c r="BI26" s="3"/>
      <c r="BJ26" s="3">
        <v>0</v>
      </c>
      <c r="BK26" s="3"/>
      <c r="BL26" s="3">
        <v>0</v>
      </c>
      <c r="BM26" s="3"/>
      <c r="BN26" s="3">
        <v>0</v>
      </c>
      <c r="BO26" s="3"/>
      <c r="BP26" s="14">
        <f t="shared" si="0"/>
        <v>15780485</v>
      </c>
      <c r="BQ26" s="3"/>
      <c r="BR26" s="14">
        <f>GovRev!AT26-BP26</f>
        <v>2910069</v>
      </c>
      <c r="BS26" s="3"/>
      <c r="BT26" s="3">
        <v>24429082</v>
      </c>
      <c r="BU26" s="3"/>
      <c r="BV26" s="3">
        <v>0</v>
      </c>
      <c r="BW26" s="3"/>
      <c r="BX26" s="14">
        <f t="shared" si="2"/>
        <v>27339151</v>
      </c>
      <c r="BY26" s="14"/>
      <c r="BZ26" s="14">
        <f>-BX26+GovBS!AC26</f>
        <v>0</v>
      </c>
    </row>
    <row r="27" spans="1:78" s="13" customFormat="1">
      <c r="A27" s="3" t="s">
        <v>367</v>
      </c>
      <c r="C27" s="13" t="s">
        <v>164</v>
      </c>
      <c r="E27" s="3">
        <v>3725098</v>
      </c>
      <c r="F27" s="3"/>
      <c r="G27" s="3">
        <v>1378651</v>
      </c>
      <c r="H27" s="3"/>
      <c r="I27" s="3">
        <v>6898195</v>
      </c>
      <c r="J27" s="3"/>
      <c r="K27" s="3">
        <v>211968</v>
      </c>
      <c r="L27" s="3"/>
      <c r="M27" s="3">
        <v>639441</v>
      </c>
      <c r="N27" s="3"/>
      <c r="O27" s="3">
        <v>922912</v>
      </c>
      <c r="P27" s="3"/>
      <c r="Q27" s="3">
        <v>545022</v>
      </c>
      <c r="R27" s="3"/>
      <c r="S27" s="3">
        <v>32142</v>
      </c>
      <c r="T27" s="3"/>
      <c r="U27" s="3">
        <v>2540322</v>
      </c>
      <c r="V27" s="3"/>
      <c r="W27" s="3">
        <v>789981</v>
      </c>
      <c r="X27" s="3"/>
      <c r="Y27" s="3">
        <v>4992</v>
      </c>
      <c r="Z27" s="3"/>
      <c r="AA27" s="3">
        <v>2432712</v>
      </c>
      <c r="AB27" s="3"/>
      <c r="AC27" s="3" t="s">
        <v>367</v>
      </c>
      <c r="AE27" s="13" t="s">
        <v>164</v>
      </c>
      <c r="AG27" s="3">
        <v>47721</v>
      </c>
      <c r="AH27" s="3"/>
      <c r="AI27" s="3">
        <v>658587</v>
      </c>
      <c r="AJ27" s="3"/>
      <c r="AK27" s="3"/>
      <c r="AL27" s="3"/>
      <c r="AM27" s="3">
        <v>0</v>
      </c>
      <c r="AN27" s="3"/>
      <c r="AO27" s="3">
        <v>373678</v>
      </c>
      <c r="AP27" s="3"/>
      <c r="AQ27" s="3">
        <v>53359</v>
      </c>
      <c r="AR27" s="3"/>
      <c r="AS27" s="3">
        <v>2549493</v>
      </c>
      <c r="AT27" s="3"/>
      <c r="AU27" s="3">
        <v>0</v>
      </c>
      <c r="AV27" s="3"/>
      <c r="AW27" s="3">
        <v>150000</v>
      </c>
      <c r="AX27" s="3"/>
      <c r="AY27" s="3">
        <v>92078</v>
      </c>
      <c r="AZ27" s="3"/>
      <c r="BA27" s="3">
        <v>0</v>
      </c>
      <c r="BB27" s="3"/>
      <c r="BC27" s="14">
        <f t="shared" si="1"/>
        <v>24046352</v>
      </c>
      <c r="BD27" s="3" t="s">
        <v>367</v>
      </c>
      <c r="BF27" s="13" t="s">
        <v>164</v>
      </c>
      <c r="BG27" s="3"/>
      <c r="BH27" s="3">
        <v>392078</v>
      </c>
      <c r="BI27" s="3"/>
      <c r="BJ27" s="3">
        <v>0</v>
      </c>
      <c r="BK27" s="3"/>
      <c r="BL27" s="3">
        <v>0</v>
      </c>
      <c r="BM27" s="3"/>
      <c r="BN27" s="3">
        <v>0</v>
      </c>
      <c r="BO27" s="3"/>
      <c r="BP27" s="14">
        <f t="shared" si="0"/>
        <v>24438430</v>
      </c>
      <c r="BQ27" s="3"/>
      <c r="BR27" s="14">
        <f>GovRev!AT27-BP27</f>
        <v>373835</v>
      </c>
      <c r="BS27" s="3"/>
      <c r="BT27" s="3">
        <v>19197870</v>
      </c>
      <c r="BU27" s="3"/>
      <c r="BV27" s="3">
        <v>0</v>
      </c>
      <c r="BW27" s="3"/>
      <c r="BX27" s="14">
        <f t="shared" si="2"/>
        <v>19571705</v>
      </c>
      <c r="BY27" s="14"/>
      <c r="BZ27" s="14">
        <f>-BX27+GovBS!AC27</f>
        <v>0</v>
      </c>
    </row>
    <row r="28" spans="1:78" s="13" customFormat="1">
      <c r="A28" s="3" t="s">
        <v>244</v>
      </c>
      <c r="C28" s="13" t="s">
        <v>162</v>
      </c>
      <c r="E28" s="3">
        <v>883027</v>
      </c>
      <c r="F28" s="3"/>
      <c r="G28" s="3">
        <v>483574</v>
      </c>
      <c r="H28" s="3"/>
      <c r="I28" s="3">
        <v>5294352</v>
      </c>
      <c r="J28" s="3"/>
      <c r="K28" s="3">
        <v>3951534</v>
      </c>
      <c r="L28" s="3"/>
      <c r="M28" s="3">
        <v>0</v>
      </c>
      <c r="N28" s="3"/>
      <c r="O28" s="3">
        <v>1002227</v>
      </c>
      <c r="P28" s="3"/>
      <c r="Q28" s="3">
        <v>308439</v>
      </c>
      <c r="R28" s="3"/>
      <c r="S28" s="3">
        <v>66061</v>
      </c>
      <c r="T28" s="3"/>
      <c r="U28" s="3">
        <v>2065815</v>
      </c>
      <c r="V28" s="3"/>
      <c r="W28" s="3">
        <v>433785</v>
      </c>
      <c r="X28" s="3"/>
      <c r="Y28" s="3">
        <v>313885</v>
      </c>
      <c r="Z28" s="3"/>
      <c r="AA28" s="3">
        <v>1563013</v>
      </c>
      <c r="AB28" s="3"/>
      <c r="AC28" s="3" t="s">
        <v>244</v>
      </c>
      <c r="AE28" s="13" t="s">
        <v>162</v>
      </c>
      <c r="AG28" s="3">
        <v>45704</v>
      </c>
      <c r="AH28" s="3"/>
      <c r="AI28" s="3">
        <v>523936</v>
      </c>
      <c r="AJ28" s="3"/>
      <c r="AK28" s="3"/>
      <c r="AL28" s="3"/>
      <c r="AM28" s="3">
        <v>364818</v>
      </c>
      <c r="AN28" s="3"/>
      <c r="AO28" s="3">
        <v>279735</v>
      </c>
      <c r="AP28" s="3"/>
      <c r="AQ28" s="3">
        <v>0</v>
      </c>
      <c r="AR28" s="3"/>
      <c r="AS28" s="3">
        <v>556203</v>
      </c>
      <c r="AT28" s="3"/>
      <c r="AU28" s="3">
        <v>0</v>
      </c>
      <c r="AV28" s="3"/>
      <c r="AW28" s="3">
        <v>248295</v>
      </c>
      <c r="AX28" s="3"/>
      <c r="AY28" s="3">
        <v>153347</v>
      </c>
      <c r="AZ28" s="3"/>
      <c r="BA28" s="3">
        <v>0</v>
      </c>
      <c r="BB28" s="3"/>
      <c r="BC28" s="14">
        <f t="shared" si="1"/>
        <v>18537750</v>
      </c>
      <c r="BD28" s="3" t="s">
        <v>244</v>
      </c>
      <c r="BF28" s="13" t="s">
        <v>162</v>
      </c>
      <c r="BG28" s="3"/>
      <c r="BH28" s="3">
        <v>550000</v>
      </c>
      <c r="BI28" s="3"/>
      <c r="BJ28" s="3">
        <v>0</v>
      </c>
      <c r="BK28" s="3"/>
      <c r="BL28" s="3">
        <v>0</v>
      </c>
      <c r="BM28" s="3"/>
      <c r="BN28" s="3">
        <v>0</v>
      </c>
      <c r="BO28" s="3"/>
      <c r="BP28" s="14">
        <f t="shared" si="0"/>
        <v>19087750</v>
      </c>
      <c r="BQ28" s="3"/>
      <c r="BR28" s="14">
        <f>GovRev!AT28-BP28</f>
        <v>272179</v>
      </c>
      <c r="BS28" s="3"/>
      <c r="BT28" s="3">
        <v>5410105</v>
      </c>
      <c r="BU28" s="3"/>
      <c r="BV28" s="3">
        <v>-44143</v>
      </c>
      <c r="BW28" s="3"/>
      <c r="BX28" s="14">
        <f t="shared" si="2"/>
        <v>5638141</v>
      </c>
      <c r="BY28" s="14"/>
      <c r="BZ28" s="14">
        <f>-BX28+GovBS!AC28</f>
        <v>0</v>
      </c>
    </row>
    <row r="29" spans="1:78" s="13" customFormat="1">
      <c r="A29" s="3" t="s">
        <v>246</v>
      </c>
      <c r="C29" s="13" t="s">
        <v>211</v>
      </c>
      <c r="E29" s="3">
        <v>35749</v>
      </c>
      <c r="F29" s="3"/>
      <c r="G29" s="3">
        <v>3024</v>
      </c>
      <c r="H29" s="3"/>
      <c r="I29" s="3">
        <v>10307955</v>
      </c>
      <c r="J29" s="3"/>
      <c r="K29" s="3">
        <v>1232001</v>
      </c>
      <c r="L29" s="3"/>
      <c r="M29" s="3">
        <v>0</v>
      </c>
      <c r="N29" s="3"/>
      <c r="O29" s="3">
        <v>1607578</v>
      </c>
      <c r="P29" s="3"/>
      <c r="Q29" s="3">
        <v>550000</v>
      </c>
      <c r="R29" s="3"/>
      <c r="S29" s="3">
        <v>79194</v>
      </c>
      <c r="T29" s="3"/>
      <c r="U29" s="3">
        <v>1436238</v>
      </c>
      <c r="V29" s="3"/>
      <c r="W29" s="3">
        <v>511883</v>
      </c>
      <c r="X29" s="3"/>
      <c r="Y29" s="3">
        <v>82132</v>
      </c>
      <c r="Z29" s="3"/>
      <c r="AA29" s="3">
        <v>1415121</v>
      </c>
      <c r="AB29" s="3"/>
      <c r="AC29" s="3" t="s">
        <v>246</v>
      </c>
      <c r="AE29" s="13" t="s">
        <v>211</v>
      </c>
      <c r="AG29" s="3">
        <v>25683</v>
      </c>
      <c r="AH29" s="3"/>
      <c r="AI29" s="3">
        <v>426819</v>
      </c>
      <c r="AJ29" s="3"/>
      <c r="AK29" s="3"/>
      <c r="AL29" s="3"/>
      <c r="AM29" s="3">
        <v>0</v>
      </c>
      <c r="AN29" s="3"/>
      <c r="AO29" s="3">
        <v>499782</v>
      </c>
      <c r="AP29" s="3"/>
      <c r="AQ29" s="3">
        <v>100428</v>
      </c>
      <c r="AR29" s="3"/>
      <c r="AS29" s="3">
        <v>130667</v>
      </c>
      <c r="AT29" s="3"/>
      <c r="AU29" s="3">
        <v>0</v>
      </c>
      <c r="AV29" s="3"/>
      <c r="AW29" s="3">
        <v>81546</v>
      </c>
      <c r="AX29" s="3"/>
      <c r="AY29" s="3">
        <v>0</v>
      </c>
      <c r="AZ29" s="3"/>
      <c r="BA29" s="3">
        <v>0</v>
      </c>
      <c r="BB29" s="3"/>
      <c r="BC29" s="14">
        <f t="shared" si="1"/>
        <v>18525800</v>
      </c>
      <c r="BD29" s="3" t="s">
        <v>246</v>
      </c>
      <c r="BF29" s="13" t="s">
        <v>211</v>
      </c>
      <c r="BG29" s="3"/>
      <c r="BH29" s="3">
        <v>100000</v>
      </c>
      <c r="BI29" s="3"/>
      <c r="BJ29" s="3">
        <v>0</v>
      </c>
      <c r="BK29" s="3"/>
      <c r="BL29" s="3">
        <v>0</v>
      </c>
      <c r="BM29" s="3"/>
      <c r="BN29" s="3">
        <v>0</v>
      </c>
      <c r="BO29" s="3"/>
      <c r="BP29" s="14">
        <f t="shared" si="0"/>
        <v>18625800</v>
      </c>
      <c r="BQ29" s="3"/>
      <c r="BR29" s="14">
        <f>GovRev!AT29-BP29</f>
        <v>-264854</v>
      </c>
      <c r="BS29" s="3"/>
      <c r="BT29" s="3">
        <v>10453518</v>
      </c>
      <c r="BU29" s="3"/>
      <c r="BV29" s="3">
        <v>0</v>
      </c>
      <c r="BW29" s="3"/>
      <c r="BX29" s="14">
        <f t="shared" si="2"/>
        <v>10188664</v>
      </c>
      <c r="BY29" s="14"/>
      <c r="BZ29" s="14">
        <f>-BX29+GovBS!AC29</f>
        <v>0</v>
      </c>
    </row>
    <row r="30" spans="1:78" s="13" customFormat="1">
      <c r="A30" s="3" t="s">
        <v>210</v>
      </c>
      <c r="C30" s="13" t="s">
        <v>167</v>
      </c>
      <c r="E30" s="3">
        <v>80787</v>
      </c>
      <c r="F30" s="3"/>
      <c r="G30" s="3">
        <v>873426</v>
      </c>
      <c r="H30" s="3"/>
      <c r="I30" s="3">
        <v>4705769</v>
      </c>
      <c r="J30" s="3"/>
      <c r="K30" s="3">
        <v>851337</v>
      </c>
      <c r="L30" s="3"/>
      <c r="M30" s="3">
        <v>0</v>
      </c>
      <c r="N30" s="3"/>
      <c r="O30" s="3">
        <v>442384</v>
      </c>
      <c r="P30" s="3"/>
      <c r="Q30" s="3">
        <v>370484</v>
      </c>
      <c r="R30" s="3"/>
      <c r="S30" s="3">
        <v>71436</v>
      </c>
      <c r="T30" s="3"/>
      <c r="U30" s="3">
        <v>554279</v>
      </c>
      <c r="V30" s="3"/>
      <c r="W30" s="3">
        <v>383048</v>
      </c>
      <c r="X30" s="3"/>
      <c r="Y30" s="3">
        <v>58525</v>
      </c>
      <c r="Z30" s="3"/>
      <c r="AA30" s="3">
        <v>1056594</v>
      </c>
      <c r="AB30" s="3"/>
      <c r="AC30" s="3" t="s">
        <v>210</v>
      </c>
      <c r="AE30" s="13" t="s">
        <v>167</v>
      </c>
      <c r="AG30" s="3">
        <v>17185</v>
      </c>
      <c r="AH30" s="3"/>
      <c r="AI30" s="3">
        <v>240725</v>
      </c>
      <c r="AJ30" s="3"/>
      <c r="AK30" s="3"/>
      <c r="AL30" s="3"/>
      <c r="AM30" s="3">
        <v>221768</v>
      </c>
      <c r="AN30" s="3"/>
      <c r="AO30" s="3">
        <v>0</v>
      </c>
      <c r="AP30" s="3"/>
      <c r="AQ30" s="3">
        <v>12460</v>
      </c>
      <c r="AR30" s="3"/>
      <c r="AS30" s="3">
        <v>0</v>
      </c>
      <c r="AT30" s="3"/>
      <c r="AU30" s="3">
        <v>0</v>
      </c>
      <c r="AV30" s="3"/>
      <c r="AW30" s="3">
        <v>204000</v>
      </c>
      <c r="AX30" s="3"/>
      <c r="AY30" s="3">
        <v>56794</v>
      </c>
      <c r="AZ30" s="3"/>
      <c r="BA30" s="3">
        <v>0</v>
      </c>
      <c r="BB30" s="3"/>
      <c r="BC30" s="14">
        <f t="shared" si="1"/>
        <v>10201001</v>
      </c>
      <c r="BD30" s="3" t="s">
        <v>210</v>
      </c>
      <c r="BF30" s="13" t="s">
        <v>167</v>
      </c>
      <c r="BG30" s="3"/>
      <c r="BH30" s="3">
        <v>188672</v>
      </c>
      <c r="BI30" s="3"/>
      <c r="BJ30" s="3">
        <v>0</v>
      </c>
      <c r="BK30" s="3"/>
      <c r="BL30" s="3">
        <v>0</v>
      </c>
      <c r="BM30" s="3"/>
      <c r="BN30" s="3">
        <v>0</v>
      </c>
      <c r="BO30" s="3"/>
      <c r="BP30" s="14">
        <f t="shared" si="0"/>
        <v>10389673</v>
      </c>
      <c r="BQ30" s="3"/>
      <c r="BR30" s="14">
        <f>GovRev!AT30-BP30</f>
        <v>-108527</v>
      </c>
      <c r="BS30" s="3"/>
      <c r="BT30" s="3">
        <v>6030051</v>
      </c>
      <c r="BU30" s="3"/>
      <c r="BV30" s="3">
        <v>0</v>
      </c>
      <c r="BW30" s="3"/>
      <c r="BX30" s="14">
        <f t="shared" si="2"/>
        <v>5921524</v>
      </c>
      <c r="BY30" s="14"/>
      <c r="BZ30" s="14">
        <f>-BX30+GovBS!AC30</f>
        <v>0</v>
      </c>
    </row>
    <row r="31" spans="1:78" s="13" customFormat="1">
      <c r="A31" s="3" t="s">
        <v>368</v>
      </c>
      <c r="C31" s="13" t="s">
        <v>170</v>
      </c>
      <c r="E31" s="3">
        <v>7203198</v>
      </c>
      <c r="F31" s="3"/>
      <c r="G31" s="3">
        <v>0</v>
      </c>
      <c r="H31" s="3"/>
      <c r="I31" s="3">
        <v>23913125</v>
      </c>
      <c r="J31" s="3"/>
      <c r="K31" s="3">
        <v>6759027</v>
      </c>
      <c r="L31" s="3"/>
      <c r="M31" s="3">
        <v>0</v>
      </c>
      <c r="N31" s="3"/>
      <c r="O31" s="3">
        <v>3371799</v>
      </c>
      <c r="P31" s="3"/>
      <c r="Q31" s="3">
        <v>2343708</v>
      </c>
      <c r="R31" s="3"/>
      <c r="S31" s="3">
        <v>365033</v>
      </c>
      <c r="T31" s="3"/>
      <c r="U31" s="3">
        <v>3713940</v>
      </c>
      <c r="V31" s="3"/>
      <c r="W31" s="3">
        <v>1975356</v>
      </c>
      <c r="X31" s="3"/>
      <c r="Y31" s="3">
        <v>1116907</v>
      </c>
      <c r="Z31" s="3"/>
      <c r="AA31" s="3">
        <v>6464208</v>
      </c>
      <c r="AB31" s="3"/>
      <c r="AC31" s="3" t="s">
        <v>368</v>
      </c>
      <c r="AE31" s="13" t="s">
        <v>170</v>
      </c>
      <c r="AG31" s="3">
        <v>546461</v>
      </c>
      <c r="AH31" s="3"/>
      <c r="AI31" s="3">
        <v>4591268</v>
      </c>
      <c r="AJ31" s="3"/>
      <c r="AK31" s="3"/>
      <c r="AL31" s="3"/>
      <c r="AM31" s="3">
        <v>0</v>
      </c>
      <c r="AN31" s="3"/>
      <c r="AO31" s="3">
        <v>1292756</v>
      </c>
      <c r="AP31" s="3"/>
      <c r="AQ31" s="3">
        <v>2616</v>
      </c>
      <c r="AR31" s="3"/>
      <c r="AS31" s="3">
        <v>5524034</v>
      </c>
      <c r="AT31" s="3"/>
      <c r="AU31" s="3">
        <v>0</v>
      </c>
      <c r="AV31" s="3"/>
      <c r="AW31" s="3">
        <v>950000</v>
      </c>
      <c r="AX31" s="3"/>
      <c r="AY31" s="3">
        <f>470662+111920</f>
        <v>582582</v>
      </c>
      <c r="AZ31" s="3"/>
      <c r="BA31" s="3">
        <v>0</v>
      </c>
      <c r="BB31" s="3"/>
      <c r="BC31" s="14">
        <f>SUM(E31:BA31)</f>
        <v>70716018</v>
      </c>
      <c r="BD31" s="3" t="s">
        <v>368</v>
      </c>
      <c r="BF31" s="13" t="s">
        <v>170</v>
      </c>
      <c r="BG31" s="3"/>
      <c r="BH31" s="3">
        <v>7587361</v>
      </c>
      <c r="BI31" s="3"/>
      <c r="BJ31" s="3">
        <v>0</v>
      </c>
      <c r="BK31" s="3"/>
      <c r="BL31" s="3">
        <v>0</v>
      </c>
      <c r="BM31" s="3"/>
      <c r="BN31" s="3">
        <v>8408641</v>
      </c>
      <c r="BO31" s="3"/>
      <c r="BP31" s="14">
        <f t="shared" si="0"/>
        <v>86712020</v>
      </c>
      <c r="BQ31" s="3"/>
      <c r="BR31" s="14">
        <f>GovRev!AT31-BP31</f>
        <v>-3330431</v>
      </c>
      <c r="BS31" s="3"/>
      <c r="BT31" s="3">
        <v>43347821</v>
      </c>
      <c r="BU31" s="3"/>
      <c r="BV31" s="3">
        <v>0</v>
      </c>
      <c r="BW31" s="3"/>
      <c r="BX31" s="14">
        <f t="shared" si="2"/>
        <v>40017390</v>
      </c>
      <c r="BY31" s="14"/>
      <c r="BZ31" s="14">
        <f>-BX31+GovBS!AC31</f>
        <v>0</v>
      </c>
    </row>
    <row r="32" spans="1:78" s="13" customFormat="1">
      <c r="A32" s="3" t="s">
        <v>321</v>
      </c>
      <c r="C32" s="13" t="s">
        <v>169</v>
      </c>
      <c r="E32" s="3">
        <v>875204</v>
      </c>
      <c r="F32" s="3"/>
      <c r="G32" s="3">
        <v>0</v>
      </c>
      <c r="H32" s="3"/>
      <c r="I32" s="3">
        <v>7441541</v>
      </c>
      <c r="J32" s="3"/>
      <c r="K32" s="3">
        <v>1326008</v>
      </c>
      <c r="L32" s="3"/>
      <c r="M32" s="3">
        <v>0</v>
      </c>
      <c r="N32" s="3"/>
      <c r="O32" s="3">
        <v>1047770</v>
      </c>
      <c r="P32" s="3"/>
      <c r="Q32" s="3">
        <v>1735740</v>
      </c>
      <c r="R32" s="3"/>
      <c r="S32" s="3">
        <v>315058</v>
      </c>
      <c r="T32" s="3"/>
      <c r="U32" s="3">
        <v>803811</v>
      </c>
      <c r="V32" s="3"/>
      <c r="W32" s="3">
        <v>521904</v>
      </c>
      <c r="X32" s="3"/>
      <c r="Y32" s="3">
        <v>0</v>
      </c>
      <c r="Z32" s="3"/>
      <c r="AA32" s="3">
        <v>1405102</v>
      </c>
      <c r="AB32" s="3"/>
      <c r="AC32" s="3" t="s">
        <v>321</v>
      </c>
      <c r="AE32" s="13" t="s">
        <v>169</v>
      </c>
      <c r="AG32" s="3">
        <v>0</v>
      </c>
      <c r="AH32" s="3"/>
      <c r="AI32" s="3">
        <v>267661</v>
      </c>
      <c r="AJ32" s="3"/>
      <c r="AK32" s="3"/>
      <c r="AL32" s="3"/>
      <c r="AM32" s="3">
        <v>0</v>
      </c>
      <c r="AN32" s="3"/>
      <c r="AO32" s="3">
        <f>301752+44782</f>
        <v>346534</v>
      </c>
      <c r="AP32" s="3"/>
      <c r="AQ32" s="3">
        <v>41768</v>
      </c>
      <c r="AR32" s="3"/>
      <c r="AS32" s="3">
        <v>228091</v>
      </c>
      <c r="AT32" s="3"/>
      <c r="AU32" s="3">
        <v>0</v>
      </c>
      <c r="AV32" s="3"/>
      <c r="AW32" s="3">
        <v>33333</v>
      </c>
      <c r="AX32" s="3"/>
      <c r="AY32" s="3">
        <v>0</v>
      </c>
      <c r="AZ32" s="3"/>
      <c r="BA32" s="3">
        <v>0</v>
      </c>
      <c r="BB32" s="3"/>
      <c r="BC32" s="14">
        <f t="shared" si="1"/>
        <v>16389525</v>
      </c>
      <c r="BD32" s="3" t="s">
        <v>321</v>
      </c>
      <c r="BF32" s="13" t="s">
        <v>169</v>
      </c>
      <c r="BG32" s="3"/>
      <c r="BH32" s="3">
        <v>440347</v>
      </c>
      <c r="BI32" s="3"/>
      <c r="BJ32" s="3">
        <v>0</v>
      </c>
      <c r="BK32" s="3"/>
      <c r="BL32" s="3">
        <v>0</v>
      </c>
      <c r="BM32" s="3"/>
      <c r="BN32" s="3">
        <v>0</v>
      </c>
      <c r="BO32" s="3"/>
      <c r="BP32" s="14">
        <f t="shared" si="0"/>
        <v>16829872</v>
      </c>
      <c r="BQ32" s="3"/>
      <c r="BR32" s="14">
        <f>GovRev!AT32-BP32</f>
        <v>635236</v>
      </c>
      <c r="BS32" s="3"/>
      <c r="BT32" s="3">
        <v>5422657</v>
      </c>
      <c r="BU32" s="3"/>
      <c r="BV32" s="3">
        <v>0</v>
      </c>
      <c r="BW32" s="3"/>
      <c r="BX32" s="14">
        <f t="shared" si="2"/>
        <v>6057893</v>
      </c>
      <c r="BY32" s="14"/>
      <c r="BZ32" s="14">
        <f>-BX32+GovBS!AC32</f>
        <v>0</v>
      </c>
    </row>
    <row r="33" spans="1:78" s="13" customFormat="1">
      <c r="A33" s="3" t="s">
        <v>212</v>
      </c>
      <c r="C33" s="13" t="s">
        <v>172</v>
      </c>
      <c r="E33" s="3">
        <v>207152</v>
      </c>
      <c r="F33" s="3"/>
      <c r="G33" s="3">
        <v>252920</v>
      </c>
      <c r="H33" s="3"/>
      <c r="I33" s="3">
        <v>2392077</v>
      </c>
      <c r="J33" s="3"/>
      <c r="K33" s="3">
        <v>5821</v>
      </c>
      <c r="L33" s="3"/>
      <c r="M33" s="3">
        <v>23</v>
      </c>
      <c r="N33" s="3"/>
      <c r="O33" s="3">
        <v>194271</v>
      </c>
      <c r="P33" s="3"/>
      <c r="Q33" s="3">
        <v>326977</v>
      </c>
      <c r="R33" s="3"/>
      <c r="S33" s="3">
        <v>48718</v>
      </c>
      <c r="T33" s="3"/>
      <c r="U33" s="3">
        <v>216920</v>
      </c>
      <c r="V33" s="3"/>
      <c r="W33" s="3">
        <v>277485</v>
      </c>
      <c r="X33" s="3"/>
      <c r="Y33" s="3">
        <v>0</v>
      </c>
      <c r="Z33" s="3"/>
      <c r="AA33" s="3">
        <v>653110</v>
      </c>
      <c r="AB33" s="3"/>
      <c r="AC33" s="3" t="s">
        <v>212</v>
      </c>
      <c r="AE33" s="13" t="s">
        <v>172</v>
      </c>
      <c r="AG33" s="3">
        <v>0</v>
      </c>
      <c r="AH33" s="3"/>
      <c r="AI33" s="3">
        <v>19266</v>
      </c>
      <c r="AJ33" s="3"/>
      <c r="AK33" s="3"/>
      <c r="AL33" s="3"/>
      <c r="AM33" s="3">
        <v>152103</v>
      </c>
      <c r="AN33" s="3"/>
      <c r="AO33" s="3">
        <v>0</v>
      </c>
      <c r="AP33" s="3"/>
      <c r="AQ33" s="3">
        <v>0</v>
      </c>
      <c r="AR33" s="3"/>
      <c r="AS33" s="3">
        <v>0</v>
      </c>
      <c r="AT33" s="3"/>
      <c r="AU33" s="3">
        <v>0</v>
      </c>
      <c r="AV33" s="3"/>
      <c r="AW33" s="3">
        <v>62274</v>
      </c>
      <c r="AX33" s="3"/>
      <c r="AY33" s="3">
        <v>21158</v>
      </c>
      <c r="AZ33" s="3"/>
      <c r="BA33" s="3">
        <v>0</v>
      </c>
      <c r="BB33" s="3"/>
      <c r="BC33" s="14">
        <f t="shared" si="1"/>
        <v>4830275</v>
      </c>
      <c r="BD33" s="3" t="s">
        <v>212</v>
      </c>
      <c r="BF33" s="13" t="s">
        <v>172</v>
      </c>
      <c r="BG33" s="3"/>
      <c r="BH33" s="3">
        <v>88113</v>
      </c>
      <c r="BI33" s="3"/>
      <c r="BJ33" s="3">
        <v>0</v>
      </c>
      <c r="BK33" s="3"/>
      <c r="BL33" s="3">
        <v>0</v>
      </c>
      <c r="BM33" s="3"/>
      <c r="BN33" s="3">
        <v>0</v>
      </c>
      <c r="BO33" s="3"/>
      <c r="BP33" s="14">
        <f t="shared" si="0"/>
        <v>4918388</v>
      </c>
      <c r="BQ33" s="3"/>
      <c r="BR33" s="14">
        <f>GovRev!AT33-BP33</f>
        <v>672328</v>
      </c>
      <c r="BS33" s="3"/>
      <c r="BT33" s="3">
        <v>-113124</v>
      </c>
      <c r="BU33" s="3"/>
      <c r="BV33" s="3">
        <v>0</v>
      </c>
      <c r="BW33" s="3"/>
      <c r="BX33" s="14">
        <f t="shared" si="2"/>
        <v>559204</v>
      </c>
      <c r="BY33" s="14"/>
      <c r="BZ33" s="14">
        <f>-BX33+GovBS!AC33</f>
        <v>0</v>
      </c>
    </row>
    <row r="34" spans="1:78" s="13" customFormat="1">
      <c r="A34" s="3" t="s">
        <v>247</v>
      </c>
      <c r="C34" s="13" t="s">
        <v>173</v>
      </c>
      <c r="E34" s="3">
        <v>170065</v>
      </c>
      <c r="F34" s="3"/>
      <c r="G34" s="3">
        <v>0</v>
      </c>
      <c r="H34" s="3"/>
      <c r="I34" s="3">
        <v>5361924</v>
      </c>
      <c r="J34" s="3"/>
      <c r="K34" s="3">
        <v>1445163</v>
      </c>
      <c r="L34" s="3"/>
      <c r="M34" s="3">
        <v>0</v>
      </c>
      <c r="N34" s="3"/>
      <c r="O34" s="3">
        <v>607653</v>
      </c>
      <c r="P34" s="3"/>
      <c r="Q34" s="3">
        <v>751588</v>
      </c>
      <c r="R34" s="3"/>
      <c r="S34" s="3">
        <v>17885</v>
      </c>
      <c r="T34" s="3"/>
      <c r="U34" s="3">
        <v>1071500</v>
      </c>
      <c r="V34" s="3"/>
      <c r="W34" s="3">
        <v>425842</v>
      </c>
      <c r="X34" s="3"/>
      <c r="Y34" s="3">
        <v>50134</v>
      </c>
      <c r="Z34" s="3"/>
      <c r="AA34" s="3">
        <v>1393133</v>
      </c>
      <c r="AB34" s="3"/>
      <c r="AC34" s="3" t="s">
        <v>247</v>
      </c>
      <c r="AE34" s="13" t="s">
        <v>173</v>
      </c>
      <c r="AG34" s="3">
        <v>0</v>
      </c>
      <c r="AH34" s="3"/>
      <c r="AI34" s="3">
        <v>121799</v>
      </c>
      <c r="AJ34" s="3"/>
      <c r="AK34" s="3"/>
      <c r="AL34" s="3"/>
      <c r="AM34" s="3">
        <v>0</v>
      </c>
      <c r="AN34" s="3"/>
      <c r="AO34" s="3">
        <v>231129</v>
      </c>
      <c r="AP34" s="3"/>
      <c r="AQ34" s="3">
        <v>19997</v>
      </c>
      <c r="AR34" s="3"/>
      <c r="AS34" s="3">
        <v>78142</v>
      </c>
      <c r="AT34" s="3"/>
      <c r="AU34" s="3">
        <v>0</v>
      </c>
      <c r="AV34" s="3"/>
      <c r="AW34" s="3">
        <v>229671</v>
      </c>
      <c r="AX34" s="3"/>
      <c r="AY34" s="3">
        <v>206259</v>
      </c>
      <c r="AZ34" s="3"/>
      <c r="BA34" s="3">
        <v>0</v>
      </c>
      <c r="BB34" s="3"/>
      <c r="BC34" s="14">
        <f t="shared" si="1"/>
        <v>12181884</v>
      </c>
      <c r="BD34" s="3" t="s">
        <v>247</v>
      </c>
      <c r="BF34" s="13" t="s">
        <v>173</v>
      </c>
      <c r="BG34" s="3"/>
      <c r="BH34" s="3">
        <v>942600</v>
      </c>
      <c r="BI34" s="3"/>
      <c r="BJ34" s="3">
        <v>0</v>
      </c>
      <c r="BK34" s="3"/>
      <c r="BL34" s="3">
        <v>0</v>
      </c>
      <c r="BM34" s="3"/>
      <c r="BN34" s="3">
        <v>0</v>
      </c>
      <c r="BO34" s="3"/>
      <c r="BP34" s="14">
        <f t="shared" si="0"/>
        <v>13124484</v>
      </c>
      <c r="BQ34" s="3"/>
      <c r="BR34" s="14">
        <f>GovRev!AT34-BP34</f>
        <v>-942234</v>
      </c>
      <c r="BS34" s="3"/>
      <c r="BT34" s="3">
        <v>13341415</v>
      </c>
      <c r="BU34" s="3"/>
      <c r="BV34" s="3">
        <v>0</v>
      </c>
      <c r="BW34" s="3"/>
      <c r="BX34" s="14">
        <f t="shared" si="2"/>
        <v>12399181</v>
      </c>
      <c r="BY34" s="14"/>
      <c r="BZ34" s="14">
        <f>-BX34+GovBS!AC34</f>
        <v>0</v>
      </c>
    </row>
    <row r="35" spans="1:78" s="13" customFormat="1">
      <c r="A35" s="3" t="s">
        <v>213</v>
      </c>
      <c r="C35" s="13" t="s">
        <v>174</v>
      </c>
      <c r="E35" s="3">
        <v>104023</v>
      </c>
      <c r="F35" s="3"/>
      <c r="G35" s="3">
        <v>0</v>
      </c>
      <c r="H35" s="3"/>
      <c r="I35" s="3">
        <v>5576147</v>
      </c>
      <c r="J35" s="3"/>
      <c r="K35" s="3">
        <v>2711679</v>
      </c>
      <c r="L35" s="3"/>
      <c r="M35" s="3">
        <v>0</v>
      </c>
      <c r="N35" s="3"/>
      <c r="O35" s="3">
        <v>391558</v>
      </c>
      <c r="P35" s="3"/>
      <c r="Q35" s="3">
        <v>92972</v>
      </c>
      <c r="R35" s="3"/>
      <c r="S35" s="3">
        <v>57693</v>
      </c>
      <c r="T35" s="3"/>
      <c r="U35" s="3">
        <v>962163</v>
      </c>
      <c r="V35" s="3"/>
      <c r="W35" s="3">
        <v>599280</v>
      </c>
      <c r="X35" s="3"/>
      <c r="Y35" s="3">
        <v>0</v>
      </c>
      <c r="Z35" s="3"/>
      <c r="AA35" s="3">
        <v>688742</v>
      </c>
      <c r="AB35" s="3"/>
      <c r="AC35" s="3" t="s">
        <v>213</v>
      </c>
      <c r="AE35" s="13" t="s">
        <v>174</v>
      </c>
      <c r="AF35" s="3"/>
      <c r="AG35" s="3">
        <v>0</v>
      </c>
      <c r="AH35" s="3"/>
      <c r="AI35" s="3">
        <v>257583</v>
      </c>
      <c r="AJ35" s="3"/>
      <c r="AK35" s="3"/>
      <c r="AL35" s="3"/>
      <c r="AM35" s="3">
        <v>255243</v>
      </c>
      <c r="AN35" s="3"/>
      <c r="AO35" s="3">
        <v>1567970</v>
      </c>
      <c r="AP35" s="3"/>
      <c r="AQ35" s="3">
        <v>45615</v>
      </c>
      <c r="AR35" s="3"/>
      <c r="AS35" s="3">
        <v>1848436</v>
      </c>
      <c r="AT35" s="3"/>
      <c r="AU35" s="3">
        <v>0</v>
      </c>
      <c r="AV35" s="3"/>
      <c r="AW35" s="3">
        <v>385000</v>
      </c>
      <c r="AX35" s="3"/>
      <c r="AY35" s="3">
        <v>459476</v>
      </c>
      <c r="AZ35" s="3"/>
      <c r="BA35" s="3">
        <v>0</v>
      </c>
      <c r="BB35" s="3"/>
      <c r="BC35" s="14">
        <f t="shared" si="1"/>
        <v>16003580</v>
      </c>
      <c r="BD35" s="3" t="s">
        <v>213</v>
      </c>
      <c r="BF35" s="13" t="s">
        <v>174</v>
      </c>
      <c r="BG35" s="3"/>
      <c r="BH35" s="3">
        <v>1454715</v>
      </c>
      <c r="BI35" s="3"/>
      <c r="BJ35" s="3">
        <v>0</v>
      </c>
      <c r="BK35" s="3"/>
      <c r="BL35" s="3">
        <v>0</v>
      </c>
      <c r="BM35" s="3"/>
      <c r="BN35" s="3">
        <v>0</v>
      </c>
      <c r="BO35" s="3"/>
      <c r="BP35" s="14">
        <f t="shared" si="0"/>
        <v>17458295</v>
      </c>
      <c r="BQ35" s="3"/>
      <c r="BR35" s="14">
        <f>GovRev!AT35-BP35</f>
        <v>-2596657</v>
      </c>
      <c r="BS35" s="3"/>
      <c r="BT35" s="3">
        <v>12626126</v>
      </c>
      <c r="BU35" s="3"/>
      <c r="BV35" s="3">
        <v>0</v>
      </c>
      <c r="BW35" s="3"/>
      <c r="BX35" s="14">
        <f t="shared" si="2"/>
        <v>10029469</v>
      </c>
      <c r="BY35" s="14"/>
      <c r="BZ35" s="14">
        <f>-BX35+GovBS!AC35</f>
        <v>0</v>
      </c>
    </row>
    <row r="36" spans="1:78" s="13" customFormat="1" hidden="1">
      <c r="A36" s="3" t="s">
        <v>289</v>
      </c>
      <c r="C36" s="13" t="s">
        <v>175</v>
      </c>
      <c r="E36" s="3">
        <v>0</v>
      </c>
      <c r="F36" s="3"/>
      <c r="G36" s="3">
        <v>0</v>
      </c>
      <c r="H36" s="3"/>
      <c r="I36" s="3">
        <v>0</v>
      </c>
      <c r="J36" s="3"/>
      <c r="K36" s="3">
        <v>0</v>
      </c>
      <c r="L36" s="3"/>
      <c r="M36" s="3">
        <v>0</v>
      </c>
      <c r="N36" s="3"/>
      <c r="O36" s="3">
        <v>0</v>
      </c>
      <c r="P36" s="3"/>
      <c r="Q36" s="3">
        <v>0</v>
      </c>
      <c r="R36" s="3"/>
      <c r="S36" s="3">
        <v>0</v>
      </c>
      <c r="T36" s="3"/>
      <c r="U36" s="3">
        <v>0</v>
      </c>
      <c r="V36" s="3"/>
      <c r="W36" s="3">
        <v>0</v>
      </c>
      <c r="X36" s="3"/>
      <c r="Y36" s="3">
        <v>0</v>
      </c>
      <c r="Z36" s="3"/>
      <c r="AA36" s="3">
        <v>0</v>
      </c>
      <c r="AB36" s="3"/>
      <c r="AC36" s="3" t="s">
        <v>289</v>
      </c>
      <c r="AE36" s="13" t="s">
        <v>175</v>
      </c>
      <c r="AF36" s="3"/>
      <c r="AG36" s="3">
        <v>0</v>
      </c>
      <c r="AH36" s="3"/>
      <c r="AI36" s="3">
        <v>0</v>
      </c>
      <c r="AJ36" s="3"/>
      <c r="AK36" s="3"/>
      <c r="AL36" s="3"/>
      <c r="AM36" s="3">
        <v>0</v>
      </c>
      <c r="AN36" s="3"/>
      <c r="AO36" s="3">
        <v>0</v>
      </c>
      <c r="AP36" s="3"/>
      <c r="AQ36" s="3">
        <v>0</v>
      </c>
      <c r="AR36" s="3"/>
      <c r="AS36" s="3">
        <v>0</v>
      </c>
      <c r="AT36" s="3"/>
      <c r="AU36" s="3">
        <v>0</v>
      </c>
      <c r="AV36" s="3"/>
      <c r="AW36" s="3">
        <v>0</v>
      </c>
      <c r="AX36" s="3"/>
      <c r="AY36" s="3">
        <v>0</v>
      </c>
      <c r="AZ36" s="3"/>
      <c r="BA36" s="3"/>
      <c r="BB36" s="3"/>
      <c r="BC36" s="14">
        <f t="shared" si="1"/>
        <v>0</v>
      </c>
      <c r="BD36" s="3" t="s">
        <v>289</v>
      </c>
      <c r="BF36" s="13" t="s">
        <v>175</v>
      </c>
      <c r="BG36" s="3"/>
      <c r="BH36" s="3">
        <v>0</v>
      </c>
      <c r="BI36" s="3"/>
      <c r="BJ36" s="3"/>
      <c r="BK36" s="3"/>
      <c r="BL36" s="3"/>
      <c r="BM36" s="3"/>
      <c r="BN36" s="3">
        <v>0</v>
      </c>
      <c r="BO36" s="3"/>
      <c r="BP36" s="14">
        <f t="shared" si="0"/>
        <v>0</v>
      </c>
      <c r="BQ36" s="3"/>
      <c r="BR36" s="14">
        <f>GovRev!AT36-BP36</f>
        <v>0</v>
      </c>
      <c r="BS36" s="3"/>
      <c r="BT36" s="3"/>
      <c r="BU36" s="3"/>
      <c r="BV36" s="3">
        <v>0</v>
      </c>
      <c r="BW36" s="3"/>
      <c r="BX36" s="14">
        <f t="shared" si="2"/>
        <v>0</v>
      </c>
      <c r="BY36" s="14"/>
      <c r="BZ36" s="14">
        <f>-BX36+GovBS!AC36</f>
        <v>0</v>
      </c>
    </row>
    <row r="37" spans="1:78" s="13" customFormat="1">
      <c r="A37" s="3" t="s">
        <v>215</v>
      </c>
      <c r="C37" s="13" t="s">
        <v>144</v>
      </c>
      <c r="E37" s="3">
        <v>2131973</v>
      </c>
      <c r="F37" s="3"/>
      <c r="G37" s="3">
        <v>180</v>
      </c>
      <c r="H37" s="3"/>
      <c r="I37" s="3">
        <v>9387733</v>
      </c>
      <c r="J37" s="3"/>
      <c r="K37" s="3">
        <v>1768343</v>
      </c>
      <c r="L37" s="3"/>
      <c r="M37" s="3">
        <v>0</v>
      </c>
      <c r="N37" s="3"/>
      <c r="O37" s="3">
        <v>1734185</v>
      </c>
      <c r="P37" s="3"/>
      <c r="Q37" s="3">
        <v>1525221</v>
      </c>
      <c r="R37" s="3"/>
      <c r="S37" s="3">
        <v>40181</v>
      </c>
      <c r="T37" s="3"/>
      <c r="U37" s="3">
        <v>2015931</v>
      </c>
      <c r="V37" s="3"/>
      <c r="W37" s="3">
        <v>805236</v>
      </c>
      <c r="X37" s="3"/>
      <c r="Y37" s="3">
        <v>223263</v>
      </c>
      <c r="Z37" s="3"/>
      <c r="AA37" s="3">
        <v>2992270</v>
      </c>
      <c r="AB37" s="3"/>
      <c r="AC37" s="3" t="s">
        <v>215</v>
      </c>
      <c r="AE37" s="13" t="s">
        <v>144</v>
      </c>
      <c r="AG37" s="3">
        <v>74289</v>
      </c>
      <c r="AH37" s="3"/>
      <c r="AI37" s="3">
        <v>666218</v>
      </c>
      <c r="AJ37" s="3"/>
      <c r="AK37" s="3"/>
      <c r="AL37" s="3"/>
      <c r="AM37" s="3">
        <v>460018</v>
      </c>
      <c r="AN37" s="3"/>
      <c r="AO37" s="3">
        <v>323351</v>
      </c>
      <c r="AP37" s="3"/>
      <c r="AQ37" s="3">
        <v>281293</v>
      </c>
      <c r="AR37" s="3"/>
      <c r="AS37" s="3">
        <v>52725</v>
      </c>
      <c r="AT37" s="3"/>
      <c r="AU37" s="3">
        <v>0</v>
      </c>
      <c r="AV37" s="3"/>
      <c r="AW37" s="3">
        <v>0</v>
      </c>
      <c r="AX37" s="3"/>
      <c r="AY37" s="3">
        <v>0</v>
      </c>
      <c r="AZ37" s="3"/>
      <c r="BA37" s="3">
        <v>0</v>
      </c>
      <c r="BB37" s="3"/>
      <c r="BC37" s="14">
        <f t="shared" si="1"/>
        <v>24482410</v>
      </c>
      <c r="BD37" s="3" t="s">
        <v>215</v>
      </c>
      <c r="BF37" s="13" t="s">
        <v>144</v>
      </c>
      <c r="BG37" s="3"/>
      <c r="BH37" s="3">
        <v>3171200</v>
      </c>
      <c r="BI37" s="3"/>
      <c r="BJ37" s="3">
        <v>0</v>
      </c>
      <c r="BK37" s="3"/>
      <c r="BL37" s="3">
        <v>0</v>
      </c>
      <c r="BM37" s="3"/>
      <c r="BN37" s="3">
        <v>0</v>
      </c>
      <c r="BO37" s="3"/>
      <c r="BP37" s="14">
        <f t="shared" si="0"/>
        <v>27653610</v>
      </c>
      <c r="BQ37" s="3"/>
      <c r="BR37" s="14">
        <f>GovRev!AT37-BP37</f>
        <v>-293491</v>
      </c>
      <c r="BS37" s="3"/>
      <c r="BT37" s="3">
        <v>8135612</v>
      </c>
      <c r="BU37" s="3"/>
      <c r="BV37" s="3">
        <v>0</v>
      </c>
      <c r="BW37" s="3"/>
      <c r="BX37" s="14">
        <f t="shared" si="2"/>
        <v>7842121</v>
      </c>
      <c r="BY37" s="14"/>
      <c r="BZ37" s="14">
        <f>-BX37+GovBS!AC37</f>
        <v>0</v>
      </c>
    </row>
    <row r="38" spans="1:78" s="13" customFormat="1">
      <c r="A38" s="3" t="s">
        <v>369</v>
      </c>
      <c r="C38" s="13" t="s">
        <v>178</v>
      </c>
      <c r="E38" s="3">
        <v>1205705</v>
      </c>
      <c r="F38" s="3"/>
      <c r="G38" s="3">
        <v>0</v>
      </c>
      <c r="H38" s="3"/>
      <c r="I38" s="3">
        <v>3613479</v>
      </c>
      <c r="J38" s="3"/>
      <c r="K38" s="3">
        <v>772873</v>
      </c>
      <c r="L38" s="3"/>
      <c r="M38" s="3">
        <v>0</v>
      </c>
      <c r="N38" s="3"/>
      <c r="O38" s="3">
        <v>1150402</v>
      </c>
      <c r="P38" s="3"/>
      <c r="Q38" s="3">
        <v>1015607</v>
      </c>
      <c r="R38" s="3"/>
      <c r="S38" s="3">
        <v>64988</v>
      </c>
      <c r="T38" s="3"/>
      <c r="U38" s="3">
        <v>783422</v>
      </c>
      <c r="V38" s="3"/>
      <c r="W38" s="3">
        <v>370691</v>
      </c>
      <c r="X38" s="3"/>
      <c r="Y38" s="3">
        <v>835</v>
      </c>
      <c r="Z38" s="3"/>
      <c r="AA38" s="3">
        <v>1146531</v>
      </c>
      <c r="AB38" s="3"/>
      <c r="AC38" s="3" t="s">
        <v>369</v>
      </c>
      <c r="AE38" s="13" t="s">
        <v>178</v>
      </c>
      <c r="AG38" s="3">
        <v>56126</v>
      </c>
      <c r="AH38" s="3"/>
      <c r="AI38" s="3">
        <v>98967</v>
      </c>
      <c r="AJ38" s="3"/>
      <c r="AK38" s="3"/>
      <c r="AL38" s="3"/>
      <c r="AM38" s="3">
        <v>294434</v>
      </c>
      <c r="AN38" s="3"/>
      <c r="AO38" s="3">
        <v>9718</v>
      </c>
      <c r="AP38" s="3"/>
      <c r="AQ38" s="3">
        <v>83413</v>
      </c>
      <c r="AR38" s="3"/>
      <c r="AS38" s="3">
        <v>38917</v>
      </c>
      <c r="AT38" s="3"/>
      <c r="AU38" s="3">
        <v>0</v>
      </c>
      <c r="AV38" s="3"/>
      <c r="AW38" s="3">
        <v>365000</v>
      </c>
      <c r="AX38" s="3"/>
      <c r="AY38" s="3">
        <v>643438</v>
      </c>
      <c r="AZ38" s="3"/>
      <c r="BA38" s="3">
        <v>0</v>
      </c>
      <c r="BB38" s="3"/>
      <c r="BC38" s="14">
        <f t="shared" si="1"/>
        <v>11714546</v>
      </c>
      <c r="BD38" s="3" t="s">
        <v>369</v>
      </c>
      <c r="BF38" s="13" t="s">
        <v>178</v>
      </c>
      <c r="BG38" s="3"/>
      <c r="BH38" s="3">
        <v>56148</v>
      </c>
      <c r="BI38" s="3"/>
      <c r="BJ38" s="3">
        <v>0</v>
      </c>
      <c r="BK38" s="3"/>
      <c r="BL38" s="3">
        <v>0</v>
      </c>
      <c r="BM38" s="3"/>
      <c r="BN38" s="3">
        <v>0</v>
      </c>
      <c r="BO38" s="3"/>
      <c r="BP38" s="14">
        <f t="shared" si="0"/>
        <v>11770694</v>
      </c>
      <c r="BQ38" s="3"/>
      <c r="BR38" s="14">
        <f>GovRev!AT38-BP38</f>
        <v>1072309</v>
      </c>
      <c r="BS38" s="3"/>
      <c r="BT38" s="3">
        <v>20350729</v>
      </c>
      <c r="BU38" s="3"/>
      <c r="BV38" s="3">
        <v>0</v>
      </c>
      <c r="BW38" s="3"/>
      <c r="BX38" s="14">
        <f t="shared" si="2"/>
        <v>21423038</v>
      </c>
      <c r="BY38" s="14"/>
      <c r="BZ38" s="14">
        <f>-BX38+GovBS!AC38</f>
        <v>0</v>
      </c>
    </row>
    <row r="39" spans="1:78" s="13" customFormat="1">
      <c r="A39" s="3" t="s">
        <v>248</v>
      </c>
      <c r="C39" s="13" t="s">
        <v>188</v>
      </c>
      <c r="E39" s="3">
        <v>1055273</v>
      </c>
      <c r="F39" s="3"/>
      <c r="G39" s="3">
        <v>0</v>
      </c>
      <c r="H39" s="3"/>
      <c r="I39" s="3">
        <v>4665602</v>
      </c>
      <c r="J39" s="3"/>
      <c r="K39" s="3">
        <v>192263</v>
      </c>
      <c r="L39" s="3"/>
      <c r="M39" s="3">
        <v>0</v>
      </c>
      <c r="N39" s="3"/>
      <c r="O39" s="3">
        <v>1043060</v>
      </c>
      <c r="P39" s="3"/>
      <c r="Q39" s="3">
        <v>526071</v>
      </c>
      <c r="R39" s="3"/>
      <c r="S39" s="3">
        <v>132859</v>
      </c>
      <c r="T39" s="3"/>
      <c r="U39" s="3">
        <v>968725</v>
      </c>
      <c r="V39" s="3"/>
      <c r="W39" s="3">
        <v>513485</v>
      </c>
      <c r="X39" s="3"/>
      <c r="Y39" s="3">
        <v>251936</v>
      </c>
      <c r="Z39" s="3"/>
      <c r="AA39" s="3">
        <v>1252056</v>
      </c>
      <c r="AB39" s="3"/>
      <c r="AC39" s="3" t="s">
        <v>248</v>
      </c>
      <c r="AE39" s="13" t="s">
        <v>188</v>
      </c>
      <c r="AG39" s="3">
        <v>4656</v>
      </c>
      <c r="AH39" s="3"/>
      <c r="AI39" s="3">
        <v>346057</v>
      </c>
      <c r="AJ39" s="3"/>
      <c r="AK39" s="3"/>
      <c r="AL39" s="3"/>
      <c r="AM39" s="3">
        <v>287812</v>
      </c>
      <c r="AN39" s="3"/>
      <c r="AO39" s="3">
        <v>25809</v>
      </c>
      <c r="AP39" s="3"/>
      <c r="AQ39" s="3">
        <v>24577</v>
      </c>
      <c r="AR39" s="3"/>
      <c r="AS39" s="3">
        <v>252569</v>
      </c>
      <c r="AT39" s="3"/>
      <c r="AU39" s="3">
        <v>0</v>
      </c>
      <c r="AV39" s="3"/>
      <c r="AW39" s="3">
        <v>0</v>
      </c>
      <c r="AX39" s="3"/>
      <c r="AY39" s="3">
        <v>0</v>
      </c>
      <c r="AZ39" s="3"/>
      <c r="BA39" s="3">
        <v>0</v>
      </c>
      <c r="BB39" s="3"/>
      <c r="BC39" s="14">
        <f t="shared" si="1"/>
        <v>11542810</v>
      </c>
      <c r="BD39" s="3" t="s">
        <v>248</v>
      </c>
      <c r="BF39" s="13" t="s">
        <v>188</v>
      </c>
      <c r="BG39" s="3"/>
      <c r="BH39" s="3">
        <v>0</v>
      </c>
      <c r="BI39" s="3"/>
      <c r="BJ39" s="3">
        <v>0</v>
      </c>
      <c r="BK39" s="3"/>
      <c r="BL39" s="3">
        <v>0</v>
      </c>
      <c r="BM39" s="3"/>
      <c r="BN39" s="3">
        <v>0</v>
      </c>
      <c r="BO39" s="3"/>
      <c r="BP39" s="14">
        <f t="shared" si="0"/>
        <v>11542810</v>
      </c>
      <c r="BQ39" s="3"/>
      <c r="BR39" s="14">
        <f>GovRev!AT39-BP39</f>
        <v>2032532</v>
      </c>
      <c r="BS39" s="3"/>
      <c r="BT39" s="3">
        <v>18415948</v>
      </c>
      <c r="BU39" s="3"/>
      <c r="BV39" s="3">
        <v>0</v>
      </c>
      <c r="BW39" s="3"/>
      <c r="BX39" s="14">
        <f t="shared" si="2"/>
        <v>20448480</v>
      </c>
      <c r="BY39" s="14"/>
      <c r="BZ39" s="14">
        <f>-BX39+GovBS!AC39</f>
        <v>0</v>
      </c>
    </row>
    <row r="40" spans="1:78" s="13" customFormat="1">
      <c r="A40" s="3" t="s">
        <v>219</v>
      </c>
      <c r="C40" s="13" t="s">
        <v>180</v>
      </c>
      <c r="E40" s="3">
        <v>2560511</v>
      </c>
      <c r="F40" s="3"/>
      <c r="G40" s="3">
        <v>529523</v>
      </c>
      <c r="H40" s="3"/>
      <c r="I40" s="3">
        <v>4784042</v>
      </c>
      <c r="J40" s="3"/>
      <c r="K40" s="3">
        <v>95899</v>
      </c>
      <c r="L40" s="3"/>
      <c r="M40" s="3">
        <v>0</v>
      </c>
      <c r="N40" s="3"/>
      <c r="O40" s="3">
        <v>1712994</v>
      </c>
      <c r="P40" s="3"/>
      <c r="Q40" s="3">
        <v>522309</v>
      </c>
      <c r="R40" s="3"/>
      <c r="S40" s="3">
        <v>35459</v>
      </c>
      <c r="T40" s="3"/>
      <c r="U40" s="3">
        <v>1779387</v>
      </c>
      <c r="V40" s="3"/>
      <c r="W40" s="3">
        <v>557614</v>
      </c>
      <c r="X40" s="3"/>
      <c r="Y40" s="3">
        <v>239643</v>
      </c>
      <c r="Z40" s="3"/>
      <c r="AA40" s="3">
        <v>1407101</v>
      </c>
      <c r="AB40" s="3"/>
      <c r="AC40" s="3" t="s">
        <v>219</v>
      </c>
      <c r="AE40" s="13" t="s">
        <v>180</v>
      </c>
      <c r="AG40" s="3">
        <v>36512</v>
      </c>
      <c r="AH40" s="3"/>
      <c r="AI40" s="3">
        <v>210024</v>
      </c>
      <c r="AJ40" s="3"/>
      <c r="AK40" s="3"/>
      <c r="AL40" s="3"/>
      <c r="AM40" s="3">
        <v>0</v>
      </c>
      <c r="AN40" s="3"/>
      <c r="AO40" s="3">
        <v>66336</v>
      </c>
      <c r="AP40" s="3"/>
      <c r="AQ40" s="3">
        <v>17256</v>
      </c>
      <c r="AR40" s="3"/>
      <c r="AS40" s="3">
        <v>1967626</v>
      </c>
      <c r="AT40" s="3"/>
      <c r="AU40" s="3">
        <v>0</v>
      </c>
      <c r="AV40" s="3"/>
      <c r="AW40" s="3">
        <v>0</v>
      </c>
      <c r="AX40" s="3"/>
      <c r="AY40" s="3">
        <v>0</v>
      </c>
      <c r="AZ40" s="3"/>
      <c r="BA40" s="3">
        <v>0</v>
      </c>
      <c r="BB40" s="3"/>
      <c r="BC40" s="14">
        <f t="shared" si="1"/>
        <v>16522236</v>
      </c>
      <c r="BD40" s="3" t="s">
        <v>219</v>
      </c>
      <c r="BF40" s="13" t="s">
        <v>180</v>
      </c>
      <c r="BG40" s="3"/>
      <c r="BH40" s="3">
        <v>7000</v>
      </c>
      <c r="BI40" s="3"/>
      <c r="BJ40" s="3">
        <v>0</v>
      </c>
      <c r="BK40" s="3"/>
      <c r="BL40" s="3">
        <v>0</v>
      </c>
      <c r="BM40" s="3"/>
      <c r="BN40" s="3">
        <v>0</v>
      </c>
      <c r="BO40" s="3"/>
      <c r="BP40" s="14">
        <f t="shared" si="0"/>
        <v>16529236</v>
      </c>
      <c r="BQ40" s="3"/>
      <c r="BR40" s="14">
        <f>GovRev!AT40-BP40</f>
        <v>106024</v>
      </c>
      <c r="BS40" s="3"/>
      <c r="BT40" s="3">
        <v>8669696</v>
      </c>
      <c r="BU40" s="3"/>
      <c r="BV40" s="3">
        <v>0</v>
      </c>
      <c r="BW40" s="3"/>
      <c r="BX40" s="14">
        <f t="shared" si="2"/>
        <v>8775720</v>
      </c>
      <c r="BY40" s="14"/>
      <c r="BZ40" s="14">
        <f>-BX40+GovBS!AC40</f>
        <v>0</v>
      </c>
    </row>
    <row r="41" spans="1:78" s="13" customFormat="1">
      <c r="A41" s="3" t="s">
        <v>370</v>
      </c>
      <c r="C41" s="13" t="s">
        <v>183</v>
      </c>
      <c r="E41" s="3">
        <v>1106306</v>
      </c>
      <c r="F41" s="3"/>
      <c r="G41" s="3">
        <v>316960</v>
      </c>
      <c r="H41" s="3"/>
      <c r="I41" s="3">
        <v>15449445</v>
      </c>
      <c r="J41" s="3"/>
      <c r="K41" s="3">
        <v>4013711</v>
      </c>
      <c r="L41" s="3"/>
      <c r="M41" s="3">
        <v>0</v>
      </c>
      <c r="N41" s="3"/>
      <c r="O41" s="3">
        <v>1705078</v>
      </c>
      <c r="P41" s="3"/>
      <c r="Q41" s="3">
        <v>1738385</v>
      </c>
      <c r="R41" s="3"/>
      <c r="S41" s="3">
        <v>0</v>
      </c>
      <c r="T41" s="3"/>
      <c r="U41" s="3">
        <f>70702+2079836</f>
        <v>2150538</v>
      </c>
      <c r="V41" s="3"/>
      <c r="W41" s="3">
        <v>850703</v>
      </c>
      <c r="X41" s="3"/>
      <c r="Y41" s="3">
        <v>427472</v>
      </c>
      <c r="Z41" s="3"/>
      <c r="AA41" s="3">
        <v>2992098</v>
      </c>
      <c r="AB41" s="3"/>
      <c r="AC41" s="3" t="s">
        <v>370</v>
      </c>
      <c r="AE41" s="13" t="s">
        <v>183</v>
      </c>
      <c r="AG41" s="3">
        <v>94077</v>
      </c>
      <c r="AH41" s="3"/>
      <c r="AI41" s="3">
        <v>2163144</v>
      </c>
      <c r="AJ41" s="3"/>
      <c r="AK41" s="3"/>
      <c r="AL41" s="3"/>
      <c r="AM41" s="3">
        <v>0</v>
      </c>
      <c r="AN41" s="3"/>
      <c r="AO41" s="3">
        <v>0</v>
      </c>
      <c r="AP41" s="3"/>
      <c r="AQ41" s="3">
        <v>91872</v>
      </c>
      <c r="AR41" s="3"/>
      <c r="AS41" s="3">
        <v>146809</v>
      </c>
      <c r="AT41" s="3"/>
      <c r="AU41" s="3">
        <v>0</v>
      </c>
      <c r="AV41" s="3"/>
      <c r="AW41" s="3">
        <v>20000</v>
      </c>
      <c r="AX41" s="3"/>
      <c r="AY41" s="3">
        <v>326145</v>
      </c>
      <c r="AZ41" s="3"/>
      <c r="BA41" s="3">
        <v>0</v>
      </c>
      <c r="BB41" s="3"/>
      <c r="BC41" s="14">
        <f t="shared" si="1"/>
        <v>33592743</v>
      </c>
      <c r="BD41" s="3" t="s">
        <v>370</v>
      </c>
      <c r="BF41" s="13" t="s">
        <v>183</v>
      </c>
      <c r="BG41" s="3"/>
      <c r="BH41" s="3">
        <v>353373</v>
      </c>
      <c r="BI41" s="3"/>
      <c r="BJ41" s="3">
        <v>0</v>
      </c>
      <c r="BK41" s="3"/>
      <c r="BL41" s="3">
        <v>0</v>
      </c>
      <c r="BM41" s="3"/>
      <c r="BN41" s="3">
        <v>0</v>
      </c>
      <c r="BO41" s="3"/>
      <c r="BP41" s="14">
        <f t="shared" si="0"/>
        <v>33946116</v>
      </c>
      <c r="BQ41" s="3"/>
      <c r="BR41" s="14">
        <f>GovRev!AT41-BP41</f>
        <v>812688</v>
      </c>
      <c r="BS41" s="3"/>
      <c r="BT41" s="3">
        <v>2305322</v>
      </c>
      <c r="BU41" s="3"/>
      <c r="BV41" s="3">
        <v>0</v>
      </c>
      <c r="BW41" s="3"/>
      <c r="BX41" s="14">
        <f t="shared" si="2"/>
        <v>3118010</v>
      </c>
      <c r="BY41" s="14"/>
      <c r="BZ41" s="14">
        <f>-BX41+GovBS!AC41</f>
        <v>0</v>
      </c>
    </row>
    <row r="42" spans="1:78" s="13" customFormat="1">
      <c r="A42" s="3" t="s">
        <v>371</v>
      </c>
      <c r="C42" s="13" t="s">
        <v>185</v>
      </c>
      <c r="E42" s="3">
        <v>1873991</v>
      </c>
      <c r="F42" s="3"/>
      <c r="G42" s="3">
        <v>0</v>
      </c>
      <c r="H42" s="3"/>
      <c r="I42" s="3">
        <v>6541063</v>
      </c>
      <c r="J42" s="3"/>
      <c r="K42" s="3">
        <v>2658929</v>
      </c>
      <c r="L42" s="3"/>
      <c r="M42" s="3">
        <v>0</v>
      </c>
      <c r="N42" s="3"/>
      <c r="O42" s="3">
        <v>1080134</v>
      </c>
      <c r="P42" s="3"/>
      <c r="Q42" s="3">
        <v>840514</v>
      </c>
      <c r="R42" s="3"/>
      <c r="S42" s="3">
        <v>62689</v>
      </c>
      <c r="T42" s="3"/>
      <c r="U42" s="3">
        <v>1519129</v>
      </c>
      <c r="V42" s="3"/>
      <c r="W42" s="3">
        <v>761980</v>
      </c>
      <c r="X42" s="3"/>
      <c r="Y42" s="3">
        <v>188618</v>
      </c>
      <c r="Z42" s="3"/>
      <c r="AA42" s="3">
        <v>1113490</v>
      </c>
      <c r="AB42" s="3"/>
      <c r="AC42" s="3" t="s">
        <v>371</v>
      </c>
      <c r="AE42" s="13" t="s">
        <v>185</v>
      </c>
      <c r="AG42" s="3">
        <v>104185</v>
      </c>
      <c r="AH42" s="3"/>
      <c r="AI42" s="3">
        <v>486580</v>
      </c>
      <c r="AJ42" s="3"/>
      <c r="AK42" s="3"/>
      <c r="AL42" s="3"/>
      <c r="AM42" s="3">
        <v>428521</v>
      </c>
      <c r="AN42" s="3"/>
      <c r="AO42" s="3">
        <v>575</v>
      </c>
      <c r="AP42" s="3"/>
      <c r="AQ42" s="3">
        <v>106312</v>
      </c>
      <c r="AR42" s="3"/>
      <c r="AS42" s="3">
        <v>12105048</v>
      </c>
      <c r="AT42" s="3"/>
      <c r="AU42" s="3">
        <v>0</v>
      </c>
      <c r="AV42" s="3"/>
      <c r="AW42" s="3">
        <v>1882336</v>
      </c>
      <c r="AX42" s="3"/>
      <c r="AY42" s="3">
        <v>658499</v>
      </c>
      <c r="AZ42" s="3"/>
      <c r="BA42" s="3">
        <v>0</v>
      </c>
      <c r="BB42" s="3"/>
      <c r="BC42" s="14">
        <f t="shared" si="1"/>
        <v>32412593</v>
      </c>
      <c r="BD42" s="3" t="s">
        <v>371</v>
      </c>
      <c r="BF42" s="13" t="s">
        <v>185</v>
      </c>
      <c r="BG42" s="3"/>
      <c r="BH42" s="3">
        <v>3700000</v>
      </c>
      <c r="BI42" s="3"/>
      <c r="BJ42" s="3">
        <v>0</v>
      </c>
      <c r="BK42" s="3"/>
      <c r="BL42" s="3">
        <v>0</v>
      </c>
      <c r="BM42" s="3"/>
      <c r="BN42" s="3">
        <v>0</v>
      </c>
      <c r="BO42" s="3"/>
      <c r="BP42" s="14">
        <f t="shared" si="0"/>
        <v>36112593</v>
      </c>
      <c r="BQ42" s="3"/>
      <c r="BR42" s="14">
        <f>GovRev!AT42-BP42</f>
        <v>-1832990</v>
      </c>
      <c r="BS42" s="3"/>
      <c r="BT42" s="3">
        <v>41817675</v>
      </c>
      <c r="BU42" s="3"/>
      <c r="BV42" s="3">
        <v>0</v>
      </c>
      <c r="BW42" s="3"/>
      <c r="BX42" s="14">
        <f t="shared" si="2"/>
        <v>39984685</v>
      </c>
      <c r="BY42" s="14"/>
      <c r="BZ42" s="14">
        <f>-BX42+GovBS!AC42</f>
        <v>0</v>
      </c>
    </row>
    <row r="43" spans="1:78" s="13" customFormat="1" ht="12.75" customHeight="1">
      <c r="A43" s="3" t="s">
        <v>214</v>
      </c>
      <c r="C43" s="13" t="s">
        <v>176</v>
      </c>
      <c r="E43" s="3">
        <v>1298280</v>
      </c>
      <c r="F43" s="3"/>
      <c r="G43" s="3">
        <v>592244</v>
      </c>
      <c r="H43" s="3"/>
      <c r="I43" s="3">
        <v>4597797</v>
      </c>
      <c r="J43" s="3"/>
      <c r="K43" s="3">
        <v>1708669</v>
      </c>
      <c r="L43" s="3"/>
      <c r="M43" s="3">
        <v>4608</v>
      </c>
      <c r="N43" s="3"/>
      <c r="O43" s="3">
        <v>834375</v>
      </c>
      <c r="P43" s="3"/>
      <c r="Q43" s="3">
        <v>351387</v>
      </c>
      <c r="R43" s="3"/>
      <c r="S43" s="3">
        <v>0</v>
      </c>
      <c r="T43" s="3"/>
      <c r="U43" s="3">
        <f>58000+950243</f>
        <v>1008243</v>
      </c>
      <c r="V43" s="3"/>
      <c r="W43" s="3">
        <v>284392</v>
      </c>
      <c r="X43" s="3"/>
      <c r="Y43" s="3">
        <v>881277</v>
      </c>
      <c r="Z43" s="3"/>
      <c r="AA43" s="3">
        <v>1619345</v>
      </c>
      <c r="AB43" s="3"/>
      <c r="AC43" s="3" t="s">
        <v>214</v>
      </c>
      <c r="AE43" s="13" t="s">
        <v>176</v>
      </c>
      <c r="AG43" s="3">
        <v>59515</v>
      </c>
      <c r="AH43" s="3"/>
      <c r="AI43" s="3">
        <v>715190</v>
      </c>
      <c r="AJ43" s="3"/>
      <c r="AK43" s="3"/>
      <c r="AL43" s="3"/>
      <c r="AM43" s="3">
        <v>0</v>
      </c>
      <c r="AN43" s="3"/>
      <c r="AO43" s="3">
        <v>225538</v>
      </c>
      <c r="AP43" s="3"/>
      <c r="AQ43" s="3">
        <v>0</v>
      </c>
      <c r="AR43" s="3"/>
      <c r="AS43" s="3">
        <v>171795</v>
      </c>
      <c r="AT43" s="3"/>
      <c r="AU43" s="3">
        <v>0</v>
      </c>
      <c r="AV43" s="3"/>
      <c r="AW43" s="3">
        <v>656399</v>
      </c>
      <c r="AX43" s="3"/>
      <c r="AY43" s="3">
        <v>25883</v>
      </c>
      <c r="AZ43" s="3"/>
      <c r="BA43" s="3">
        <v>0</v>
      </c>
      <c r="BB43" s="3"/>
      <c r="BC43" s="14">
        <f t="shared" si="1"/>
        <v>15034937</v>
      </c>
      <c r="BD43" s="3" t="s">
        <v>214</v>
      </c>
      <c r="BF43" s="13" t="s">
        <v>176</v>
      </c>
      <c r="BG43" s="3"/>
      <c r="BH43" s="3">
        <v>363000</v>
      </c>
      <c r="BI43" s="3"/>
      <c r="BJ43" s="3">
        <v>0</v>
      </c>
      <c r="BK43" s="3"/>
      <c r="BL43" s="3">
        <v>0</v>
      </c>
      <c r="BM43" s="3"/>
      <c r="BN43" s="3">
        <v>627418</v>
      </c>
      <c r="BO43" s="3"/>
      <c r="BP43" s="14">
        <f t="shared" si="0"/>
        <v>16025355</v>
      </c>
      <c r="BQ43" s="3"/>
      <c r="BR43" s="14">
        <f>GovRev!AT43-BP43</f>
        <v>-633128</v>
      </c>
      <c r="BS43" s="3"/>
      <c r="BT43" s="3">
        <v>9096781</v>
      </c>
      <c r="BU43" s="3"/>
      <c r="BV43" s="3">
        <v>0</v>
      </c>
      <c r="BW43" s="3"/>
      <c r="BX43" s="14">
        <f t="shared" si="2"/>
        <v>8463653</v>
      </c>
      <c r="BY43" s="14"/>
      <c r="BZ43" s="14">
        <f>-BX43+GovBS!AC43</f>
        <v>0</v>
      </c>
    </row>
    <row r="44" spans="1:78" s="13" customFormat="1">
      <c r="A44" s="3" t="s">
        <v>328</v>
      </c>
      <c r="C44" s="13" t="s">
        <v>206</v>
      </c>
      <c r="E44" s="3">
        <v>0</v>
      </c>
      <c r="F44" s="3"/>
      <c r="G44" s="3">
        <v>807936</v>
      </c>
      <c r="H44" s="3"/>
      <c r="I44" s="3">
        <v>15131608</v>
      </c>
      <c r="J44" s="3"/>
      <c r="K44" s="3">
        <v>1075306</v>
      </c>
      <c r="L44" s="3"/>
      <c r="M44" s="3">
        <v>535463</v>
      </c>
      <c r="N44" s="3"/>
      <c r="O44" s="3">
        <v>2747642</v>
      </c>
      <c r="P44" s="3"/>
      <c r="Q44" s="3">
        <v>2445851</v>
      </c>
      <c r="R44" s="3"/>
      <c r="S44" s="3">
        <v>79472</v>
      </c>
      <c r="T44" s="3"/>
      <c r="U44" s="3">
        <v>1033629</v>
      </c>
      <c r="V44" s="3"/>
      <c r="W44" s="3">
        <v>638598</v>
      </c>
      <c r="X44" s="3"/>
      <c r="Y44" s="3">
        <v>0</v>
      </c>
      <c r="Z44" s="3"/>
      <c r="AA44" s="3">
        <v>2443517</v>
      </c>
      <c r="AB44" s="3"/>
      <c r="AC44" s="3" t="s">
        <v>328</v>
      </c>
      <c r="AE44" s="13" t="s">
        <v>206</v>
      </c>
      <c r="AG44" s="3">
        <v>0</v>
      </c>
      <c r="AH44" s="3"/>
      <c r="AI44" s="3">
        <v>328578</v>
      </c>
      <c r="AJ44" s="3"/>
      <c r="AK44" s="3"/>
      <c r="AL44" s="3"/>
      <c r="AM44" s="3">
        <v>731708</v>
      </c>
      <c r="AN44" s="3"/>
      <c r="AO44" s="3">
        <f>78464+203841</f>
        <v>282305</v>
      </c>
      <c r="AP44" s="3"/>
      <c r="AQ44" s="3">
        <v>266009</v>
      </c>
      <c r="AR44" s="3"/>
      <c r="AS44" s="3">
        <v>0</v>
      </c>
      <c r="AT44" s="3"/>
      <c r="AU44" s="3">
        <v>0</v>
      </c>
      <c r="AV44" s="3"/>
      <c r="AW44" s="3">
        <v>1914290</v>
      </c>
      <c r="AX44" s="3"/>
      <c r="AY44" s="3">
        <f>2573044+678639</f>
        <v>3251683</v>
      </c>
      <c r="AZ44" s="3"/>
      <c r="BA44" s="3">
        <v>0</v>
      </c>
      <c r="BB44" s="3"/>
      <c r="BC44" s="14">
        <f t="shared" si="1"/>
        <v>33713595</v>
      </c>
      <c r="BD44" s="3" t="s">
        <v>328</v>
      </c>
      <c r="BF44" s="13" t="s">
        <v>206</v>
      </c>
      <c r="BG44" s="3"/>
      <c r="BH44" s="3">
        <v>12000341</v>
      </c>
      <c r="BI44" s="3"/>
      <c r="BJ44" s="3">
        <v>0</v>
      </c>
      <c r="BK44" s="3"/>
      <c r="BL44" s="3">
        <v>0</v>
      </c>
      <c r="BM44" s="3"/>
      <c r="BN44" s="3">
        <v>59305511</v>
      </c>
      <c r="BO44" s="3"/>
      <c r="BP44" s="14">
        <f t="shared" si="0"/>
        <v>105019447</v>
      </c>
      <c r="BQ44" s="3"/>
      <c r="BR44" s="14">
        <f>GovRev!AT44-BP44</f>
        <v>-11422834</v>
      </c>
      <c r="BS44" s="3"/>
      <c r="BT44" s="3">
        <v>23395617</v>
      </c>
      <c r="BU44" s="3"/>
      <c r="BV44" s="3">
        <v>0</v>
      </c>
      <c r="BW44" s="3"/>
      <c r="BX44" s="14">
        <f t="shared" si="2"/>
        <v>11972783</v>
      </c>
      <c r="BY44" s="14"/>
      <c r="BZ44" s="14">
        <f>-BX44+GovBS!AC44</f>
        <v>0</v>
      </c>
    </row>
    <row r="45" spans="1:78" s="13" customFormat="1">
      <c r="A45" s="3" t="s">
        <v>372</v>
      </c>
      <c r="C45" s="13" t="s">
        <v>192</v>
      </c>
      <c r="E45" s="3">
        <v>815009</v>
      </c>
      <c r="F45" s="3"/>
      <c r="G45" s="3">
        <v>0</v>
      </c>
      <c r="H45" s="3"/>
      <c r="I45" s="3">
        <v>12485876</v>
      </c>
      <c r="J45" s="3"/>
      <c r="K45" s="3">
        <v>4430</v>
      </c>
      <c r="L45" s="3"/>
      <c r="M45" s="3">
        <v>0</v>
      </c>
      <c r="N45" s="3"/>
      <c r="O45" s="3">
        <v>1422719</v>
      </c>
      <c r="P45" s="3"/>
      <c r="Q45" s="3">
        <v>1136596</v>
      </c>
      <c r="R45" s="3"/>
      <c r="S45" s="3">
        <v>30952</v>
      </c>
      <c r="T45" s="3"/>
      <c r="U45" s="3">
        <v>338972</v>
      </c>
      <c r="V45" s="3"/>
      <c r="W45" s="3">
        <v>533879</v>
      </c>
      <c r="X45" s="3"/>
      <c r="Y45" s="3">
        <v>0</v>
      </c>
      <c r="Z45" s="3"/>
      <c r="AA45" s="3">
        <v>1150104</v>
      </c>
      <c r="AB45" s="3"/>
      <c r="AC45" s="3" t="s">
        <v>372</v>
      </c>
      <c r="AE45" s="13" t="s">
        <v>192</v>
      </c>
      <c r="AG45" s="3">
        <v>23945</v>
      </c>
      <c r="AH45" s="3"/>
      <c r="AI45" s="3">
        <v>205770</v>
      </c>
      <c r="AJ45" s="3"/>
      <c r="AK45" s="3"/>
      <c r="AL45" s="3"/>
      <c r="AM45" s="3">
        <v>0</v>
      </c>
      <c r="AN45" s="3"/>
      <c r="AO45" s="3">
        <v>305448</v>
      </c>
      <c r="AP45" s="3"/>
      <c r="AQ45" s="3">
        <v>20016</v>
      </c>
      <c r="AR45" s="3"/>
      <c r="AS45" s="3">
        <v>283193</v>
      </c>
      <c r="AT45" s="3"/>
      <c r="AU45" s="3">
        <v>0</v>
      </c>
      <c r="AV45" s="3"/>
      <c r="AW45" s="3">
        <v>272886</v>
      </c>
      <c r="AX45" s="3"/>
      <c r="AY45" s="3">
        <v>0</v>
      </c>
      <c r="AZ45" s="3"/>
      <c r="BA45" s="3">
        <v>0</v>
      </c>
      <c r="BB45" s="3"/>
      <c r="BC45" s="14">
        <f t="shared" si="1"/>
        <v>19029795</v>
      </c>
      <c r="BD45" s="3" t="s">
        <v>372</v>
      </c>
      <c r="BF45" s="13" t="s">
        <v>192</v>
      </c>
      <c r="BG45" s="3"/>
      <c r="BH45" s="3">
        <v>373015</v>
      </c>
      <c r="BI45" s="3"/>
      <c r="BJ45" s="3">
        <v>0</v>
      </c>
      <c r="BK45" s="3"/>
      <c r="BL45" s="3">
        <v>0</v>
      </c>
      <c r="BM45" s="3"/>
      <c r="BN45" s="3">
        <v>0</v>
      </c>
      <c r="BO45" s="3"/>
      <c r="BP45" s="14">
        <f t="shared" si="0"/>
        <v>19402810</v>
      </c>
      <c r="BQ45" s="3"/>
      <c r="BR45" s="14">
        <f>GovRev!AT45-BP45</f>
        <v>279556</v>
      </c>
      <c r="BS45" s="3"/>
      <c r="BT45" s="3">
        <v>10605762</v>
      </c>
      <c r="BU45" s="3"/>
      <c r="BV45" s="3">
        <v>0</v>
      </c>
      <c r="BW45" s="3"/>
      <c r="BX45" s="14">
        <f t="shared" si="2"/>
        <v>10885318</v>
      </c>
      <c r="BY45" s="14"/>
      <c r="BZ45" s="14">
        <f>-BX45+GovBS!AC45</f>
        <v>0</v>
      </c>
    </row>
    <row r="46" spans="1:78" s="13" customFormat="1">
      <c r="A46" s="3" t="s">
        <v>249</v>
      </c>
      <c r="C46" s="13" t="s">
        <v>220</v>
      </c>
      <c r="E46" s="3">
        <v>0</v>
      </c>
      <c r="F46" s="3"/>
      <c r="G46" s="3">
        <v>94266</v>
      </c>
      <c r="H46" s="3"/>
      <c r="I46" s="3">
        <v>3546732</v>
      </c>
      <c r="J46" s="3"/>
      <c r="K46" s="3">
        <v>535172</v>
      </c>
      <c r="L46" s="3"/>
      <c r="M46" s="3">
        <v>0</v>
      </c>
      <c r="N46" s="3"/>
      <c r="O46" s="3">
        <v>322980</v>
      </c>
      <c r="P46" s="3"/>
      <c r="Q46" s="3">
        <v>400448</v>
      </c>
      <c r="R46" s="3"/>
      <c r="S46" s="3">
        <v>83071</v>
      </c>
      <c r="T46" s="3"/>
      <c r="U46" s="3">
        <v>466603</v>
      </c>
      <c r="V46" s="3"/>
      <c r="W46" s="3">
        <v>378132</v>
      </c>
      <c r="X46" s="3"/>
      <c r="Y46" s="3">
        <v>0</v>
      </c>
      <c r="Z46" s="3"/>
      <c r="AA46" s="3">
        <v>625582</v>
      </c>
      <c r="AB46" s="3"/>
      <c r="AC46" s="3" t="s">
        <v>249</v>
      </c>
      <c r="AE46" s="13" t="s">
        <v>220</v>
      </c>
      <c r="AG46" s="3">
        <v>10127</v>
      </c>
      <c r="AH46" s="3"/>
      <c r="AI46" s="3">
        <v>201323</v>
      </c>
      <c r="AJ46" s="3"/>
      <c r="AK46" s="3"/>
      <c r="AL46" s="3"/>
      <c r="AM46" s="3">
        <v>0</v>
      </c>
      <c r="AN46" s="3"/>
      <c r="AO46" s="3">
        <v>268512</v>
      </c>
      <c r="AP46" s="3"/>
      <c r="AQ46" s="3">
        <v>2795</v>
      </c>
      <c r="AR46" s="3"/>
      <c r="AS46" s="3">
        <v>122022</v>
      </c>
      <c r="AT46" s="3"/>
      <c r="AU46" s="3">
        <v>0</v>
      </c>
      <c r="AV46" s="3"/>
      <c r="AW46" s="3">
        <v>147789</v>
      </c>
      <c r="AX46" s="3"/>
      <c r="AY46" s="3">
        <v>176104</v>
      </c>
      <c r="AZ46" s="3"/>
      <c r="BA46" s="3">
        <v>0</v>
      </c>
      <c r="BB46" s="3"/>
      <c r="BC46" s="14">
        <f t="shared" si="1"/>
        <v>7381658</v>
      </c>
      <c r="BD46" s="3" t="s">
        <v>249</v>
      </c>
      <c r="BF46" s="13" t="s">
        <v>220</v>
      </c>
      <c r="BG46" s="3"/>
      <c r="BH46" s="3">
        <v>40037</v>
      </c>
      <c r="BI46" s="3"/>
      <c r="BJ46" s="3">
        <v>0</v>
      </c>
      <c r="BK46" s="3"/>
      <c r="BL46" s="3">
        <v>0</v>
      </c>
      <c r="BM46" s="3"/>
      <c r="BN46" s="3">
        <v>0</v>
      </c>
      <c r="BO46" s="3"/>
      <c r="BP46" s="14">
        <f t="shared" ref="BP46:BP112" si="3">+BC46+BH46+BJ46+BN46+BL46</f>
        <v>7421695</v>
      </c>
      <c r="BQ46" s="3"/>
      <c r="BR46" s="14">
        <f>GovRev!AT46-BP46</f>
        <v>368932</v>
      </c>
      <c r="BS46" s="3"/>
      <c r="BT46" s="3">
        <v>4238812</v>
      </c>
      <c r="BU46" s="3"/>
      <c r="BV46" s="3">
        <v>0</v>
      </c>
      <c r="BW46" s="3"/>
      <c r="BX46" s="14">
        <f t="shared" si="2"/>
        <v>4607744</v>
      </c>
      <c r="BY46" s="14"/>
      <c r="BZ46" s="14">
        <f>-BX46+GovBS!AC46</f>
        <v>0</v>
      </c>
    </row>
    <row r="47" spans="1:78" s="13" customFormat="1">
      <c r="A47" s="3" t="s">
        <v>373</v>
      </c>
      <c r="C47" s="13" t="s">
        <v>191</v>
      </c>
      <c r="E47" s="3">
        <v>902553</v>
      </c>
      <c r="F47" s="3"/>
      <c r="G47" s="3">
        <v>546502</v>
      </c>
      <c r="H47" s="3"/>
      <c r="I47" s="3">
        <v>9461402</v>
      </c>
      <c r="J47" s="3"/>
      <c r="K47" s="3">
        <v>362907</v>
      </c>
      <c r="L47" s="3"/>
      <c r="M47" s="3">
        <v>0</v>
      </c>
      <c r="N47" s="3"/>
      <c r="O47" s="3">
        <v>1207355</v>
      </c>
      <c r="P47" s="3"/>
      <c r="Q47" s="3">
        <v>1336029</v>
      </c>
      <c r="R47" s="3"/>
      <c r="S47" s="3">
        <v>86592</v>
      </c>
      <c r="T47" s="3"/>
      <c r="U47" s="3">
        <v>1066722</v>
      </c>
      <c r="V47" s="3"/>
      <c r="W47" s="3">
        <v>526055</v>
      </c>
      <c r="X47" s="3"/>
      <c r="Y47" s="3">
        <v>193253</v>
      </c>
      <c r="Z47" s="3"/>
      <c r="AA47" s="3">
        <v>1174665</v>
      </c>
      <c r="AB47" s="3"/>
      <c r="AC47" s="3" t="s">
        <v>373</v>
      </c>
      <c r="AE47" s="13" t="s">
        <v>191</v>
      </c>
      <c r="AG47" s="3">
        <v>2189</v>
      </c>
      <c r="AH47" s="3"/>
      <c r="AI47" s="3">
        <v>131209</v>
      </c>
      <c r="AJ47" s="3"/>
      <c r="AK47" s="3"/>
      <c r="AL47" s="3"/>
      <c r="AM47" s="3">
        <v>431753</v>
      </c>
      <c r="AN47" s="3"/>
      <c r="AO47" s="3">
        <v>69</v>
      </c>
      <c r="AP47" s="3"/>
      <c r="AQ47" s="3">
        <v>81240</v>
      </c>
      <c r="AR47" s="3"/>
      <c r="AS47" s="3">
        <f>7892575+79493</f>
        <v>7972068</v>
      </c>
      <c r="AT47" s="3"/>
      <c r="AU47" s="3">
        <v>0</v>
      </c>
      <c r="AV47" s="3"/>
      <c r="AW47" s="3">
        <v>330315</v>
      </c>
      <c r="AX47" s="3"/>
      <c r="AY47" s="3">
        <v>567156</v>
      </c>
      <c r="AZ47" s="3"/>
      <c r="BA47" s="3">
        <v>0</v>
      </c>
      <c r="BB47" s="3"/>
      <c r="BC47" s="14">
        <f t="shared" si="1"/>
        <v>26380034</v>
      </c>
      <c r="BD47" s="3" t="s">
        <v>373</v>
      </c>
      <c r="BF47" s="13" t="s">
        <v>191</v>
      </c>
      <c r="BG47" s="3"/>
      <c r="BH47" s="3">
        <v>931291</v>
      </c>
      <c r="BI47" s="3"/>
      <c r="BJ47" s="3">
        <v>0</v>
      </c>
      <c r="BK47" s="3"/>
      <c r="BL47" s="3">
        <v>0</v>
      </c>
      <c r="BM47" s="3"/>
      <c r="BN47" s="3">
        <v>0</v>
      </c>
      <c r="BO47" s="3"/>
      <c r="BP47" s="14">
        <f t="shared" si="3"/>
        <v>27311325</v>
      </c>
      <c r="BQ47" s="3"/>
      <c r="BR47" s="14">
        <f>GovRev!AT47-BP47</f>
        <v>-7213670</v>
      </c>
      <c r="BS47" s="3"/>
      <c r="BT47" s="3">
        <v>25159762</v>
      </c>
      <c r="BU47" s="3"/>
      <c r="BV47" s="3">
        <v>-3104</v>
      </c>
      <c r="BW47" s="3"/>
      <c r="BX47" s="14">
        <f t="shared" si="2"/>
        <v>17942988</v>
      </c>
      <c r="BY47" s="14"/>
      <c r="BZ47" s="14">
        <f>-BX47+GovBS!AC47</f>
        <v>0</v>
      </c>
    </row>
    <row r="48" spans="1:78" s="13" customFormat="1">
      <c r="A48" s="3" t="s">
        <v>250</v>
      </c>
      <c r="C48" s="13" t="s">
        <v>159</v>
      </c>
      <c r="E48" s="3">
        <v>0</v>
      </c>
      <c r="F48" s="3"/>
      <c r="G48" s="3">
        <v>0</v>
      </c>
      <c r="H48" s="3"/>
      <c r="I48" s="3">
        <v>6345418</v>
      </c>
      <c r="J48" s="3"/>
      <c r="K48" s="3">
        <v>367464</v>
      </c>
      <c r="L48" s="3"/>
      <c r="M48" s="3">
        <v>0</v>
      </c>
      <c r="N48" s="3"/>
      <c r="O48" s="3">
        <v>1752515</v>
      </c>
      <c r="P48" s="3"/>
      <c r="Q48" s="3">
        <v>1679325</v>
      </c>
      <c r="R48" s="3"/>
      <c r="S48" s="3">
        <v>115633</v>
      </c>
      <c r="T48" s="3"/>
      <c r="U48" s="3">
        <v>945329</v>
      </c>
      <c r="V48" s="3"/>
      <c r="W48" s="3">
        <v>706853</v>
      </c>
      <c r="X48" s="3"/>
      <c r="Y48" s="3">
        <v>113072</v>
      </c>
      <c r="Z48" s="3"/>
      <c r="AA48" s="3">
        <v>1540108</v>
      </c>
      <c r="AB48" s="3"/>
      <c r="AC48" s="3" t="s">
        <v>250</v>
      </c>
      <c r="AE48" s="13" t="s">
        <v>159</v>
      </c>
      <c r="AG48" s="3">
        <v>14632</v>
      </c>
      <c r="AH48" s="3"/>
      <c r="AI48" s="3">
        <v>1027780</v>
      </c>
      <c r="AJ48" s="3"/>
      <c r="AK48" s="3"/>
      <c r="AL48" s="3"/>
      <c r="AM48" s="3">
        <v>0</v>
      </c>
      <c r="AN48" s="3"/>
      <c r="AO48" s="3">
        <v>0</v>
      </c>
      <c r="AP48" s="3"/>
      <c r="AQ48" s="3">
        <v>40878</v>
      </c>
      <c r="AR48" s="3"/>
      <c r="AS48" s="3">
        <v>24375</v>
      </c>
      <c r="AT48" s="3"/>
      <c r="AU48" s="3">
        <v>0</v>
      </c>
      <c r="AV48" s="3"/>
      <c r="AW48" s="3">
        <v>147036</v>
      </c>
      <c r="AX48" s="3"/>
      <c r="AY48" s="3">
        <v>49562</v>
      </c>
      <c r="AZ48" s="3"/>
      <c r="BA48" s="3">
        <v>0</v>
      </c>
      <c r="BB48" s="3"/>
      <c r="BC48" s="14">
        <f t="shared" si="1"/>
        <v>14869980</v>
      </c>
      <c r="BD48" s="3" t="s">
        <v>250</v>
      </c>
      <c r="BF48" s="13" t="s">
        <v>159</v>
      </c>
      <c r="BG48" s="3"/>
      <c r="BH48" s="3">
        <v>25375</v>
      </c>
      <c r="BI48" s="3"/>
      <c r="BJ48" s="3">
        <v>0</v>
      </c>
      <c r="BK48" s="3"/>
      <c r="BL48" s="3">
        <v>0</v>
      </c>
      <c r="BM48" s="3"/>
      <c r="BN48" s="3">
        <v>0</v>
      </c>
      <c r="BO48" s="3"/>
      <c r="BP48" s="14">
        <f t="shared" si="3"/>
        <v>14895355</v>
      </c>
      <c r="BQ48" s="3"/>
      <c r="BR48" s="14">
        <f>GovRev!AT48-BP48</f>
        <v>2995117</v>
      </c>
      <c r="BS48" s="3"/>
      <c r="BT48" s="3">
        <v>6714481</v>
      </c>
      <c r="BU48" s="3"/>
      <c r="BV48" s="3">
        <v>0</v>
      </c>
      <c r="BW48" s="3"/>
      <c r="BX48" s="14">
        <f t="shared" si="2"/>
        <v>9709598</v>
      </c>
      <c r="BY48" s="14"/>
      <c r="BZ48" s="14">
        <f>-BX48+GovBS!AC48</f>
        <v>0</v>
      </c>
    </row>
    <row r="49" spans="1:78" s="13" customFormat="1">
      <c r="A49" s="3" t="s">
        <v>251</v>
      </c>
      <c r="C49" s="13" t="s">
        <v>198</v>
      </c>
      <c r="E49" s="3">
        <v>406035</v>
      </c>
      <c r="F49" s="3"/>
      <c r="G49" s="3">
        <v>316601</v>
      </c>
      <c r="H49" s="3"/>
      <c r="I49" s="3">
        <v>3464312</v>
      </c>
      <c r="J49" s="3"/>
      <c r="K49" s="3">
        <v>1552259</v>
      </c>
      <c r="L49" s="3"/>
      <c r="M49" s="3">
        <v>1047</v>
      </c>
      <c r="N49" s="3"/>
      <c r="O49" s="3">
        <v>351155</v>
      </c>
      <c r="P49" s="3"/>
      <c r="Q49" s="3">
        <v>77604</v>
      </c>
      <c r="R49" s="3"/>
      <c r="S49" s="3">
        <v>25767</v>
      </c>
      <c r="T49" s="3"/>
      <c r="U49" s="3">
        <v>781570</v>
      </c>
      <c r="V49" s="3"/>
      <c r="W49" s="3">
        <v>412208</v>
      </c>
      <c r="X49" s="3"/>
      <c r="Y49" s="3">
        <v>0</v>
      </c>
      <c r="Z49" s="3"/>
      <c r="AA49" s="3">
        <v>425854</v>
      </c>
      <c r="AB49" s="3"/>
      <c r="AC49" s="3" t="s">
        <v>251</v>
      </c>
      <c r="AE49" s="13" t="s">
        <v>198</v>
      </c>
      <c r="AG49" s="3">
        <v>42617</v>
      </c>
      <c r="AH49" s="3"/>
      <c r="AI49" s="3">
        <v>99917</v>
      </c>
      <c r="AJ49" s="3"/>
      <c r="AK49" s="3"/>
      <c r="AL49" s="3"/>
      <c r="AM49" s="3">
        <v>0</v>
      </c>
      <c r="AN49" s="3"/>
      <c r="AO49" s="3">
        <v>0</v>
      </c>
      <c r="AP49" s="3"/>
      <c r="AQ49" s="3">
        <v>14289</v>
      </c>
      <c r="AR49" s="3"/>
      <c r="AS49" s="3">
        <v>280871</v>
      </c>
      <c r="AT49" s="3"/>
      <c r="AU49" s="3">
        <v>0</v>
      </c>
      <c r="AV49" s="3"/>
      <c r="AW49" s="3">
        <v>33333</v>
      </c>
      <c r="AX49" s="3"/>
      <c r="AY49" s="3">
        <v>0</v>
      </c>
      <c r="AZ49" s="3"/>
      <c r="BA49" s="3">
        <v>0</v>
      </c>
      <c r="BB49" s="3"/>
      <c r="BC49" s="14">
        <f t="shared" si="1"/>
        <v>8285439</v>
      </c>
      <c r="BD49" s="3" t="s">
        <v>251</v>
      </c>
      <c r="BF49" s="13" t="s">
        <v>198</v>
      </c>
      <c r="BG49" s="3"/>
      <c r="BH49" s="3">
        <v>33333</v>
      </c>
      <c r="BI49" s="3"/>
      <c r="BJ49" s="3">
        <v>0</v>
      </c>
      <c r="BK49" s="3"/>
      <c r="BL49" s="3">
        <v>0</v>
      </c>
      <c r="BM49" s="3"/>
      <c r="BN49" s="3">
        <v>0</v>
      </c>
      <c r="BO49" s="3"/>
      <c r="BP49" s="14">
        <f t="shared" si="3"/>
        <v>8318772</v>
      </c>
      <c r="BQ49" s="3"/>
      <c r="BR49" s="14">
        <f>GovRev!AT49-BP49</f>
        <v>-427224</v>
      </c>
      <c r="BS49" s="3"/>
      <c r="BT49" s="3">
        <v>12711872</v>
      </c>
      <c r="BU49" s="3"/>
      <c r="BV49" s="3">
        <v>0</v>
      </c>
      <c r="BW49" s="3"/>
      <c r="BX49" s="14">
        <f t="shared" si="2"/>
        <v>12284648</v>
      </c>
      <c r="BY49" s="14"/>
      <c r="BZ49" s="14">
        <f>-BX49+GovBS!AC49</f>
        <v>0</v>
      </c>
    </row>
    <row r="50" spans="1:78" s="13" customFormat="1">
      <c r="A50" s="3" t="s">
        <v>252</v>
      </c>
      <c r="C50" s="13" t="s">
        <v>194</v>
      </c>
      <c r="E50" s="3">
        <v>0</v>
      </c>
      <c r="F50" s="3"/>
      <c r="G50" s="3">
        <v>65816</v>
      </c>
      <c r="H50" s="3"/>
      <c r="I50" s="3">
        <v>3549313</v>
      </c>
      <c r="J50" s="3"/>
      <c r="K50" s="3">
        <v>1710383</v>
      </c>
      <c r="L50" s="3"/>
      <c r="M50" s="3">
        <v>160149</v>
      </c>
      <c r="N50" s="3"/>
      <c r="O50" s="3">
        <v>435441</v>
      </c>
      <c r="P50" s="3"/>
      <c r="Q50" s="3">
        <v>421356</v>
      </c>
      <c r="R50" s="3"/>
      <c r="S50" s="3">
        <v>14796</v>
      </c>
      <c r="T50" s="3"/>
      <c r="U50" s="3">
        <v>1267092</v>
      </c>
      <c r="V50" s="3"/>
      <c r="W50" s="3">
        <v>361743</v>
      </c>
      <c r="X50" s="3"/>
      <c r="Y50" s="3">
        <v>0</v>
      </c>
      <c r="Z50" s="3"/>
      <c r="AA50" s="3">
        <v>1024987</v>
      </c>
      <c r="AB50" s="3"/>
      <c r="AC50" s="3" t="s">
        <v>252</v>
      </c>
      <c r="AE50" s="13" t="s">
        <v>194</v>
      </c>
      <c r="AG50" s="3">
        <v>1002</v>
      </c>
      <c r="AH50" s="3"/>
      <c r="AI50" s="3">
        <v>179087</v>
      </c>
      <c r="AJ50" s="3"/>
      <c r="AK50" s="3"/>
      <c r="AL50" s="3"/>
      <c r="AM50" s="3">
        <v>0</v>
      </c>
      <c r="AN50" s="3"/>
      <c r="AO50" s="3">
        <v>276120</v>
      </c>
      <c r="AP50" s="3"/>
      <c r="AQ50" s="3">
        <v>23374</v>
      </c>
      <c r="AR50" s="3"/>
      <c r="AS50" s="3">
        <v>0</v>
      </c>
      <c r="AT50" s="3"/>
      <c r="AU50" s="3">
        <v>0</v>
      </c>
      <c r="AV50" s="3"/>
      <c r="AW50" s="3">
        <v>14600</v>
      </c>
      <c r="AX50" s="3"/>
      <c r="AY50" s="3">
        <v>0</v>
      </c>
      <c r="AZ50" s="3"/>
      <c r="BA50" s="3">
        <v>0</v>
      </c>
      <c r="BB50" s="3"/>
      <c r="BC50" s="14">
        <f t="shared" si="1"/>
        <v>9505259</v>
      </c>
      <c r="BD50" s="3" t="s">
        <v>252</v>
      </c>
      <c r="BF50" s="13" t="s">
        <v>194</v>
      </c>
      <c r="BG50" s="3"/>
      <c r="BH50" s="3">
        <v>380334</v>
      </c>
      <c r="BI50" s="3"/>
      <c r="BJ50" s="3">
        <v>0</v>
      </c>
      <c r="BK50" s="3"/>
      <c r="BL50" s="3">
        <v>0</v>
      </c>
      <c r="BM50" s="3"/>
      <c r="BN50" s="3">
        <v>0</v>
      </c>
      <c r="BO50" s="3"/>
      <c r="BP50" s="14">
        <f t="shared" si="3"/>
        <v>9885593</v>
      </c>
      <c r="BQ50" s="3"/>
      <c r="BR50" s="14">
        <f>GovRev!AT50-BP50</f>
        <v>898319</v>
      </c>
      <c r="BS50" s="3"/>
      <c r="BT50" s="3">
        <v>6164200</v>
      </c>
      <c r="BU50" s="3"/>
      <c r="BV50" s="3">
        <v>0</v>
      </c>
      <c r="BW50" s="3"/>
      <c r="BX50" s="14">
        <f t="shared" si="2"/>
        <v>7062519</v>
      </c>
      <c r="BY50" s="14"/>
      <c r="BZ50" s="14">
        <f>-BX50+GovBS!AC50</f>
        <v>0</v>
      </c>
    </row>
    <row r="51" spans="1:78" s="13" customFormat="1">
      <c r="A51" s="3" t="s">
        <v>207</v>
      </c>
      <c r="C51" s="13" t="s">
        <v>152</v>
      </c>
      <c r="E51" s="3">
        <v>141918</v>
      </c>
      <c r="F51" s="3"/>
      <c r="G51" s="3">
        <v>0</v>
      </c>
      <c r="H51" s="3"/>
      <c r="I51" s="3">
        <v>3115819</v>
      </c>
      <c r="J51" s="3"/>
      <c r="K51" s="3">
        <v>133160</v>
      </c>
      <c r="L51" s="3"/>
      <c r="M51" s="3">
        <v>0</v>
      </c>
      <c r="N51" s="3"/>
      <c r="O51" s="3">
        <v>502512</v>
      </c>
      <c r="P51" s="3"/>
      <c r="Q51" s="3">
        <v>100489</v>
      </c>
      <c r="R51" s="3"/>
      <c r="S51" s="3">
        <v>33808</v>
      </c>
      <c r="T51" s="3"/>
      <c r="U51" s="3">
        <v>613394</v>
      </c>
      <c r="V51" s="3"/>
      <c r="W51" s="3">
        <v>363043</v>
      </c>
      <c r="X51" s="3"/>
      <c r="Y51" s="3">
        <v>4285</v>
      </c>
      <c r="Z51" s="3"/>
      <c r="AA51" s="3">
        <v>546827</v>
      </c>
      <c r="AB51" s="3"/>
      <c r="AC51" s="3" t="s">
        <v>207</v>
      </c>
      <c r="AE51" s="13" t="s">
        <v>152</v>
      </c>
      <c r="AG51" s="3">
        <v>38995</v>
      </c>
      <c r="AH51" s="3"/>
      <c r="AI51" s="3">
        <v>55388</v>
      </c>
      <c r="AJ51" s="3"/>
      <c r="AK51" s="3"/>
      <c r="AL51" s="3"/>
      <c r="AM51" s="3">
        <v>0</v>
      </c>
      <c r="AN51" s="3"/>
      <c r="AO51" s="3">
        <v>182748</v>
      </c>
      <c r="AP51" s="3"/>
      <c r="AQ51" s="3">
        <v>8879</v>
      </c>
      <c r="AR51" s="3"/>
      <c r="AS51" s="3">
        <v>121465</v>
      </c>
      <c r="AT51" s="3"/>
      <c r="AU51" s="3">
        <v>0</v>
      </c>
      <c r="AV51" s="3"/>
      <c r="AW51" s="3">
        <v>221978</v>
      </c>
      <c r="AX51" s="3"/>
      <c r="AY51" s="3">
        <v>25995</v>
      </c>
      <c r="AZ51" s="3"/>
      <c r="BA51" s="3">
        <v>0</v>
      </c>
      <c r="BB51" s="3"/>
      <c r="BC51" s="14">
        <f t="shared" si="1"/>
        <v>6210703</v>
      </c>
      <c r="BD51" s="3" t="s">
        <v>207</v>
      </c>
      <c r="BF51" s="13" t="s">
        <v>152</v>
      </c>
      <c r="BG51" s="3"/>
      <c r="BH51" s="3">
        <v>125000</v>
      </c>
      <c r="BI51" s="3"/>
      <c r="BJ51" s="3">
        <v>0</v>
      </c>
      <c r="BK51" s="3"/>
      <c r="BL51" s="3">
        <v>0</v>
      </c>
      <c r="BM51" s="3"/>
      <c r="BN51" s="3">
        <v>0</v>
      </c>
      <c r="BO51" s="3"/>
      <c r="BP51" s="14">
        <f t="shared" si="3"/>
        <v>6335703</v>
      </c>
      <c r="BQ51" s="3"/>
      <c r="BR51" s="14">
        <f>GovRev!AT51-BP51</f>
        <v>509191</v>
      </c>
      <c r="BS51" s="3"/>
      <c r="BT51" s="3">
        <v>8134419</v>
      </c>
      <c r="BU51" s="3"/>
      <c r="BV51" s="3">
        <v>0</v>
      </c>
      <c r="BW51" s="3"/>
      <c r="BX51" s="14">
        <f t="shared" si="2"/>
        <v>8643610</v>
      </c>
      <c r="BY51" s="14"/>
      <c r="BZ51" s="14">
        <f>-BX51+GovBS!AC51</f>
        <v>0</v>
      </c>
    </row>
    <row r="52" spans="1:78" s="13" customFormat="1">
      <c r="A52" s="3" t="s">
        <v>374</v>
      </c>
      <c r="C52" s="13" t="s">
        <v>154</v>
      </c>
      <c r="E52" s="3">
        <v>0</v>
      </c>
      <c r="F52" s="3"/>
      <c r="G52" s="3">
        <v>631684</v>
      </c>
      <c r="H52" s="3"/>
      <c r="I52" s="3">
        <v>5925265</v>
      </c>
      <c r="J52" s="3"/>
      <c r="K52" s="3">
        <v>0</v>
      </c>
      <c r="L52" s="3"/>
      <c r="M52" s="3">
        <v>0</v>
      </c>
      <c r="N52" s="3"/>
      <c r="O52" s="3">
        <v>962716</v>
      </c>
      <c r="P52" s="3"/>
      <c r="Q52" s="3">
        <v>964550</v>
      </c>
      <c r="R52" s="3"/>
      <c r="S52" s="3">
        <v>43940</v>
      </c>
      <c r="T52" s="3"/>
      <c r="U52" s="3">
        <v>696208</v>
      </c>
      <c r="V52" s="3"/>
      <c r="W52" s="3">
        <v>531916</v>
      </c>
      <c r="X52" s="3"/>
      <c r="Y52" s="3">
        <v>131674</v>
      </c>
      <c r="Z52" s="3"/>
      <c r="AA52" s="3">
        <v>1270981</v>
      </c>
      <c r="AB52" s="3"/>
      <c r="AC52" s="3" t="s">
        <v>374</v>
      </c>
      <c r="AE52" s="13" t="s">
        <v>154</v>
      </c>
      <c r="AG52" s="3">
        <v>42113</v>
      </c>
      <c r="AH52" s="3"/>
      <c r="AI52" s="3">
        <v>8823</v>
      </c>
      <c r="AJ52" s="3"/>
      <c r="AK52" s="3"/>
      <c r="AL52" s="3"/>
      <c r="AM52" s="3">
        <v>0</v>
      </c>
      <c r="AN52" s="3"/>
      <c r="AO52" s="3">
        <v>260928</v>
      </c>
      <c r="AP52" s="3"/>
      <c r="AQ52" s="3">
        <v>30070</v>
      </c>
      <c r="AR52" s="3"/>
      <c r="AS52" s="3">
        <v>187721</v>
      </c>
      <c r="AT52" s="3"/>
      <c r="AU52" s="3">
        <v>0</v>
      </c>
      <c r="AV52" s="3"/>
      <c r="AW52" s="3">
        <v>395861</v>
      </c>
      <c r="AX52" s="3"/>
      <c r="AY52" s="3">
        <v>129040</v>
      </c>
      <c r="AZ52" s="3"/>
      <c r="BA52" s="3">
        <v>0</v>
      </c>
      <c r="BB52" s="3"/>
      <c r="BC52" s="14">
        <f t="shared" si="1"/>
        <v>12213490</v>
      </c>
      <c r="BD52" s="3" t="s">
        <v>374</v>
      </c>
      <c r="BF52" s="13" t="s">
        <v>154</v>
      </c>
      <c r="BG52" s="3"/>
      <c r="BH52" s="3">
        <v>453977</v>
      </c>
      <c r="BI52" s="3"/>
      <c r="BJ52" s="3">
        <v>0</v>
      </c>
      <c r="BK52" s="3"/>
      <c r="BL52" s="3">
        <v>0</v>
      </c>
      <c r="BM52" s="3"/>
      <c r="BN52" s="3">
        <v>0</v>
      </c>
      <c r="BO52" s="3"/>
      <c r="BP52" s="14">
        <f t="shared" si="3"/>
        <v>12667467</v>
      </c>
      <c r="BQ52" s="3"/>
      <c r="BR52" s="14">
        <f>GovRev!AT52-BP52</f>
        <v>-125577</v>
      </c>
      <c r="BS52" s="3"/>
      <c r="BT52" s="3">
        <v>8454874</v>
      </c>
      <c r="BU52" s="3"/>
      <c r="BV52" s="3">
        <v>0</v>
      </c>
      <c r="BW52" s="3"/>
      <c r="BX52" s="14">
        <f t="shared" si="2"/>
        <v>8329297</v>
      </c>
      <c r="BY52" s="14"/>
      <c r="BZ52" s="14">
        <f>-BX52+GovBS!AC52</f>
        <v>0</v>
      </c>
    </row>
    <row r="53" spans="1:78" s="13" customFormat="1">
      <c r="A53" s="3" t="s">
        <v>221</v>
      </c>
      <c r="C53" s="13" t="s">
        <v>197</v>
      </c>
      <c r="E53" s="3">
        <v>918495</v>
      </c>
      <c r="F53" s="3"/>
      <c r="G53" s="3">
        <v>253703</v>
      </c>
      <c r="H53" s="3"/>
      <c r="I53" s="3">
        <v>3169723</v>
      </c>
      <c r="J53" s="3"/>
      <c r="K53" s="3">
        <v>48077</v>
      </c>
      <c r="L53" s="3"/>
      <c r="M53" s="3">
        <v>156</v>
      </c>
      <c r="N53" s="3"/>
      <c r="O53" s="3">
        <v>1004433</v>
      </c>
      <c r="P53" s="3"/>
      <c r="Q53" s="3">
        <v>542566</v>
      </c>
      <c r="R53" s="3"/>
      <c r="S53" s="3">
        <v>5332</v>
      </c>
      <c r="T53" s="3"/>
      <c r="U53" s="3">
        <v>291768</v>
      </c>
      <c r="V53" s="3"/>
      <c r="W53" s="3">
        <v>250892</v>
      </c>
      <c r="X53" s="3"/>
      <c r="Y53" s="3">
        <v>38375</v>
      </c>
      <c r="Z53" s="3"/>
      <c r="AA53" s="3">
        <v>905158</v>
      </c>
      <c r="AB53" s="3"/>
      <c r="AC53" s="3" t="s">
        <v>221</v>
      </c>
      <c r="AE53" s="13" t="s">
        <v>197</v>
      </c>
      <c r="AG53" s="3">
        <v>0</v>
      </c>
      <c r="AH53" s="3"/>
      <c r="AI53" s="3">
        <v>198418</v>
      </c>
      <c r="AJ53" s="3"/>
      <c r="AK53" s="3"/>
      <c r="AL53" s="3"/>
      <c r="AM53" s="3">
        <v>295408</v>
      </c>
      <c r="AN53" s="3"/>
      <c r="AO53" s="3">
        <v>0</v>
      </c>
      <c r="AP53" s="3"/>
      <c r="AQ53" s="3">
        <v>64774</v>
      </c>
      <c r="AR53" s="3"/>
      <c r="AS53" s="3">
        <v>1956</v>
      </c>
      <c r="AT53" s="3"/>
      <c r="AU53" s="3">
        <v>0</v>
      </c>
      <c r="AV53" s="3"/>
      <c r="AW53" s="3">
        <v>0</v>
      </c>
      <c r="AX53" s="3"/>
      <c r="AY53" s="3">
        <v>0</v>
      </c>
      <c r="AZ53" s="3"/>
      <c r="BA53" s="3">
        <v>0</v>
      </c>
      <c r="BB53" s="3"/>
      <c r="BC53" s="14">
        <f t="shared" si="1"/>
        <v>7989234</v>
      </c>
      <c r="BD53" s="3" t="s">
        <v>221</v>
      </c>
      <c r="BF53" s="13" t="s">
        <v>197</v>
      </c>
      <c r="BG53" s="3"/>
      <c r="BH53" s="3">
        <v>0</v>
      </c>
      <c r="BI53" s="3"/>
      <c r="BJ53" s="3">
        <v>0</v>
      </c>
      <c r="BK53" s="3"/>
      <c r="BL53" s="3">
        <v>0</v>
      </c>
      <c r="BM53" s="3"/>
      <c r="BN53" s="3">
        <v>0</v>
      </c>
      <c r="BO53" s="3"/>
      <c r="BP53" s="14">
        <f t="shared" si="3"/>
        <v>7989234</v>
      </c>
      <c r="BQ53" s="3"/>
      <c r="BR53" s="14">
        <f>GovRev!AT53-BP53</f>
        <v>-55679</v>
      </c>
      <c r="BS53" s="3"/>
      <c r="BT53" s="3">
        <v>10018106</v>
      </c>
      <c r="BU53" s="3"/>
      <c r="BV53" s="3">
        <v>0</v>
      </c>
      <c r="BW53" s="3"/>
      <c r="BX53" s="14">
        <f t="shared" si="2"/>
        <v>9962427</v>
      </c>
      <c r="BY53" s="14"/>
      <c r="BZ53" s="14">
        <f>-BX53+GovBS!AC53</f>
        <v>0</v>
      </c>
    </row>
    <row r="54" spans="1:78" s="13" customFormat="1">
      <c r="A54" s="3" t="s">
        <v>277</v>
      </c>
      <c r="C54" s="13" t="s">
        <v>216</v>
      </c>
      <c r="E54" s="3">
        <v>1655718</v>
      </c>
      <c r="F54" s="3"/>
      <c r="G54" s="3">
        <v>1198374</v>
      </c>
      <c r="H54" s="3"/>
      <c r="I54" s="3">
        <v>3329773</v>
      </c>
      <c r="J54" s="3"/>
      <c r="K54" s="3">
        <v>310818</v>
      </c>
      <c r="L54" s="3"/>
      <c r="M54" s="3">
        <v>168130</v>
      </c>
      <c r="N54" s="3"/>
      <c r="O54" s="3">
        <v>811553</v>
      </c>
      <c r="P54" s="3"/>
      <c r="Q54" s="3">
        <v>1206902</v>
      </c>
      <c r="R54" s="3"/>
      <c r="S54" s="3">
        <v>95370</v>
      </c>
      <c r="T54" s="3"/>
      <c r="U54" s="3">
        <v>886041</v>
      </c>
      <c r="V54" s="3"/>
      <c r="W54" s="3">
        <v>387977</v>
      </c>
      <c r="X54" s="3"/>
      <c r="Y54" s="3">
        <v>0</v>
      </c>
      <c r="Z54" s="3"/>
      <c r="AA54" s="3">
        <v>1374665</v>
      </c>
      <c r="AB54" s="3"/>
      <c r="AC54" s="3" t="s">
        <v>277</v>
      </c>
      <c r="AE54" s="13" t="s">
        <v>216</v>
      </c>
      <c r="AG54" s="3">
        <v>21707</v>
      </c>
      <c r="AH54" s="3"/>
      <c r="AI54" s="3">
        <v>50050</v>
      </c>
      <c r="AJ54" s="3"/>
      <c r="AK54" s="3"/>
      <c r="AL54" s="3"/>
      <c r="AM54" s="3">
        <v>0</v>
      </c>
      <c r="AN54" s="3"/>
      <c r="AO54" s="3">
        <v>307923</v>
      </c>
      <c r="AP54" s="3"/>
      <c r="AQ54" s="3">
        <v>34815</v>
      </c>
      <c r="AR54" s="3"/>
      <c r="AS54" s="3">
        <v>129381</v>
      </c>
      <c r="AT54" s="3"/>
      <c r="AU54" s="3">
        <v>0</v>
      </c>
      <c r="AV54" s="3"/>
      <c r="AW54" s="3">
        <v>686950</v>
      </c>
      <c r="AX54" s="3"/>
      <c r="AY54" s="3">
        <v>188292</v>
      </c>
      <c r="AZ54" s="3"/>
      <c r="BA54" s="3">
        <v>0</v>
      </c>
      <c r="BB54" s="3"/>
      <c r="BC54" s="14">
        <f t="shared" si="1"/>
        <v>12844439</v>
      </c>
      <c r="BD54" s="3" t="s">
        <v>277</v>
      </c>
      <c r="BF54" s="13" t="s">
        <v>216</v>
      </c>
      <c r="BG54" s="3"/>
      <c r="BH54" s="3">
        <v>933781</v>
      </c>
      <c r="BI54" s="3"/>
      <c r="BJ54" s="3">
        <v>0</v>
      </c>
      <c r="BK54" s="3"/>
      <c r="BL54" s="3">
        <v>0</v>
      </c>
      <c r="BM54" s="3"/>
      <c r="BN54" s="3">
        <v>0</v>
      </c>
      <c r="BO54" s="3"/>
      <c r="BP54" s="14">
        <f t="shared" si="3"/>
        <v>13778220</v>
      </c>
      <c r="BQ54" s="3"/>
      <c r="BR54" s="14">
        <f>GovRev!AT54-BP54</f>
        <v>1370396</v>
      </c>
      <c r="BS54" s="3"/>
      <c r="BT54" s="3">
        <v>7318290</v>
      </c>
      <c r="BU54" s="3"/>
      <c r="BV54" s="3">
        <v>0</v>
      </c>
      <c r="BW54" s="3"/>
      <c r="BX54" s="14">
        <f t="shared" si="2"/>
        <v>8688686</v>
      </c>
      <c r="BY54" s="14"/>
      <c r="BZ54" s="14">
        <f>-BX54+GovBS!AC54</f>
        <v>0</v>
      </c>
    </row>
    <row r="55" spans="1:78" s="13" customFormat="1">
      <c r="A55" s="3" t="s">
        <v>290</v>
      </c>
      <c r="C55" s="13" t="s">
        <v>147</v>
      </c>
      <c r="E55" s="3">
        <v>381230</v>
      </c>
      <c r="F55" s="3"/>
      <c r="G55" s="3">
        <v>0</v>
      </c>
      <c r="H55" s="3"/>
      <c r="I55" s="3">
        <v>3699856</v>
      </c>
      <c r="J55" s="3"/>
      <c r="K55" s="3">
        <v>363458</v>
      </c>
      <c r="L55" s="3"/>
      <c r="M55" s="3">
        <v>0</v>
      </c>
      <c r="N55" s="3"/>
      <c r="O55" s="3">
        <v>441248</v>
      </c>
      <c r="P55" s="3"/>
      <c r="Q55" s="3">
        <v>114331</v>
      </c>
      <c r="R55" s="3"/>
      <c r="S55" s="3">
        <v>83958</v>
      </c>
      <c r="T55" s="3"/>
      <c r="U55" s="3">
        <v>829137</v>
      </c>
      <c r="V55" s="3"/>
      <c r="W55" s="3">
        <v>448587</v>
      </c>
      <c r="X55" s="3"/>
      <c r="Y55" s="3">
        <v>70967</v>
      </c>
      <c r="Z55" s="3"/>
      <c r="AA55" s="3">
        <v>1403587</v>
      </c>
      <c r="AB55" s="3"/>
      <c r="AC55" s="3" t="s">
        <v>290</v>
      </c>
      <c r="AE55" s="13" t="s">
        <v>147</v>
      </c>
      <c r="AG55" s="3">
        <v>1390</v>
      </c>
      <c r="AH55" s="3"/>
      <c r="AI55" s="3">
        <v>171691</v>
      </c>
      <c r="AJ55" s="3"/>
      <c r="AK55" s="3"/>
      <c r="AL55" s="3"/>
      <c r="AM55" s="3">
        <v>0</v>
      </c>
      <c r="AN55" s="3"/>
      <c r="AO55" s="3">
        <v>221634</v>
      </c>
      <c r="AP55" s="3"/>
      <c r="AQ55" s="3">
        <v>4033</v>
      </c>
      <c r="AR55" s="3"/>
      <c r="AS55" s="3">
        <v>0</v>
      </c>
      <c r="AT55" s="3"/>
      <c r="AU55" s="3">
        <v>0</v>
      </c>
      <c r="AV55" s="3"/>
      <c r="AW55" s="3">
        <v>0</v>
      </c>
      <c r="AX55" s="3"/>
      <c r="AY55" s="3">
        <v>0</v>
      </c>
      <c r="AZ55" s="3"/>
      <c r="BA55" s="3">
        <v>0</v>
      </c>
      <c r="BB55" s="3"/>
      <c r="BC55" s="14">
        <f t="shared" si="1"/>
        <v>8235107</v>
      </c>
      <c r="BD55" s="3" t="s">
        <v>290</v>
      </c>
      <c r="BF55" s="13" t="s">
        <v>147</v>
      </c>
      <c r="BG55" s="3"/>
      <c r="BH55" s="3">
        <v>525000</v>
      </c>
      <c r="BI55" s="3"/>
      <c r="BJ55" s="3">
        <v>0</v>
      </c>
      <c r="BK55" s="3"/>
      <c r="BL55" s="3">
        <v>0</v>
      </c>
      <c r="BM55" s="3"/>
      <c r="BN55" s="3">
        <v>0</v>
      </c>
      <c r="BO55" s="3"/>
      <c r="BP55" s="14">
        <f t="shared" si="3"/>
        <v>8760107</v>
      </c>
      <c r="BQ55" s="3"/>
      <c r="BR55" s="14">
        <f>GovRev!AT55-BP55</f>
        <v>-127692</v>
      </c>
      <c r="BS55" s="3"/>
      <c r="BT55" s="3">
        <v>3414596</v>
      </c>
      <c r="BU55" s="3"/>
      <c r="BV55" s="3">
        <v>0</v>
      </c>
      <c r="BW55" s="3"/>
      <c r="BX55" s="14">
        <f t="shared" si="2"/>
        <v>3286904</v>
      </c>
      <c r="BY55" s="14"/>
      <c r="BZ55" s="14">
        <f>-BX55+GovBS!AC55</f>
        <v>0</v>
      </c>
    </row>
    <row r="56" spans="1:78" s="13" customFormat="1">
      <c r="A56" s="3" t="s">
        <v>217</v>
      </c>
      <c r="C56" s="13" t="s">
        <v>218</v>
      </c>
      <c r="E56" s="3">
        <v>265246</v>
      </c>
      <c r="F56" s="3"/>
      <c r="G56" s="3">
        <v>0</v>
      </c>
      <c r="H56" s="3"/>
      <c r="I56" s="3">
        <v>5563836</v>
      </c>
      <c r="J56" s="3"/>
      <c r="K56" s="3">
        <v>153084</v>
      </c>
      <c r="L56" s="3"/>
      <c r="M56" s="3">
        <v>0</v>
      </c>
      <c r="N56" s="3"/>
      <c r="O56" s="3">
        <v>621010</v>
      </c>
      <c r="P56" s="3"/>
      <c r="Q56" s="3">
        <v>383534</v>
      </c>
      <c r="R56" s="3"/>
      <c r="S56" s="3">
        <v>118788</v>
      </c>
      <c r="T56" s="3"/>
      <c r="U56" s="3">
        <v>1008752</v>
      </c>
      <c r="V56" s="3"/>
      <c r="W56" s="3">
        <v>404696</v>
      </c>
      <c r="X56" s="3"/>
      <c r="Y56" s="3">
        <v>169523</v>
      </c>
      <c r="Z56" s="3"/>
      <c r="AA56" s="3">
        <v>1008332</v>
      </c>
      <c r="AB56" s="3"/>
      <c r="AC56" s="3" t="s">
        <v>217</v>
      </c>
      <c r="AE56" s="13" t="s">
        <v>218</v>
      </c>
      <c r="AG56" s="3">
        <v>7744</v>
      </c>
      <c r="AH56" s="3"/>
      <c r="AI56" s="3">
        <v>1169762</v>
      </c>
      <c r="AJ56" s="3"/>
      <c r="AK56" s="3"/>
      <c r="AL56" s="3"/>
      <c r="AM56" s="3">
        <v>0</v>
      </c>
      <c r="AN56" s="3"/>
      <c r="AO56" s="3">
        <v>1108</v>
      </c>
      <c r="AP56" s="3"/>
      <c r="AQ56" s="3">
        <v>33603</v>
      </c>
      <c r="AR56" s="3"/>
      <c r="AS56" s="3">
        <v>809201</v>
      </c>
      <c r="AT56" s="3"/>
      <c r="AU56" s="3">
        <v>0</v>
      </c>
      <c r="AV56" s="3"/>
      <c r="AW56" s="3">
        <v>63935</v>
      </c>
      <c r="AX56" s="3"/>
      <c r="AY56" s="3">
        <v>29239</v>
      </c>
      <c r="AZ56" s="3"/>
      <c r="BA56" s="3">
        <v>0</v>
      </c>
      <c r="BB56" s="3"/>
      <c r="BC56" s="14">
        <f t="shared" si="1"/>
        <v>11811393</v>
      </c>
      <c r="BD56" s="3" t="s">
        <v>217</v>
      </c>
      <c r="BF56" s="13" t="s">
        <v>218</v>
      </c>
      <c r="BG56" s="3"/>
      <c r="BH56" s="3">
        <v>115280</v>
      </c>
      <c r="BI56" s="3"/>
      <c r="BJ56" s="3">
        <v>0</v>
      </c>
      <c r="BK56" s="3"/>
      <c r="BL56" s="3">
        <v>0</v>
      </c>
      <c r="BM56" s="3"/>
      <c r="BN56" s="3">
        <v>0</v>
      </c>
      <c r="BO56" s="3"/>
      <c r="BP56" s="14">
        <f t="shared" si="3"/>
        <v>11926673</v>
      </c>
      <c r="BQ56" s="3"/>
      <c r="BR56" s="14">
        <f>GovRev!AT56-BP56</f>
        <v>-348544</v>
      </c>
      <c r="BS56" s="3"/>
      <c r="BT56" s="3">
        <v>4116123</v>
      </c>
      <c r="BU56" s="3"/>
      <c r="BV56" s="3">
        <v>0</v>
      </c>
      <c r="BW56" s="3"/>
      <c r="BX56" s="14">
        <f t="shared" si="2"/>
        <v>3767579</v>
      </c>
      <c r="BY56" s="14"/>
      <c r="BZ56" s="14">
        <f>-BX56+GovBS!AC56</f>
        <v>0</v>
      </c>
    </row>
    <row r="57" spans="1:78" s="13" customFormat="1">
      <c r="A57" s="3" t="s">
        <v>375</v>
      </c>
      <c r="C57" s="13" t="s">
        <v>199</v>
      </c>
      <c r="E57" s="3">
        <v>2010806</v>
      </c>
      <c r="F57" s="3"/>
      <c r="G57" s="3">
        <v>687553</v>
      </c>
      <c r="H57" s="3"/>
      <c r="I57" s="3">
        <v>5399626</v>
      </c>
      <c r="J57" s="3"/>
      <c r="K57" s="3">
        <v>191861</v>
      </c>
      <c r="L57" s="3"/>
      <c r="M57" s="3">
        <v>0</v>
      </c>
      <c r="N57" s="3"/>
      <c r="O57" s="3">
        <v>1472792</v>
      </c>
      <c r="P57" s="3"/>
      <c r="Q57" s="3">
        <v>374095</v>
      </c>
      <c r="R57" s="3"/>
      <c r="S57" s="3">
        <v>66398</v>
      </c>
      <c r="T57" s="3"/>
      <c r="U57" s="3">
        <v>2059952</v>
      </c>
      <c r="V57" s="3"/>
      <c r="W57" s="3">
        <v>549581</v>
      </c>
      <c r="X57" s="3"/>
      <c r="Y57" s="3">
        <v>59401</v>
      </c>
      <c r="Z57" s="3"/>
      <c r="AA57" s="3">
        <v>1154395</v>
      </c>
      <c r="AB57" s="3"/>
      <c r="AC57" s="3" t="s">
        <v>375</v>
      </c>
      <c r="AE57" s="13" t="s">
        <v>199</v>
      </c>
      <c r="AG57" s="3">
        <v>51114</v>
      </c>
      <c r="AH57" s="3"/>
      <c r="AI57" s="3">
        <v>91159</v>
      </c>
      <c r="AJ57" s="3"/>
      <c r="AK57" s="3"/>
      <c r="AL57" s="3"/>
      <c r="AM57" s="3">
        <v>410282</v>
      </c>
      <c r="AN57" s="3"/>
      <c r="AO57" s="3">
        <v>1609</v>
      </c>
      <c r="AP57" s="3"/>
      <c r="AQ57" s="3">
        <v>105365</v>
      </c>
      <c r="AR57" s="3"/>
      <c r="AS57" s="3">
        <v>70440</v>
      </c>
      <c r="AT57" s="3"/>
      <c r="AU57" s="3">
        <v>0</v>
      </c>
      <c r="AV57" s="3"/>
      <c r="AW57" s="3">
        <v>165000</v>
      </c>
      <c r="AX57" s="3"/>
      <c r="AY57" s="3">
        <v>272095</v>
      </c>
      <c r="AZ57" s="3"/>
      <c r="BA57" s="3">
        <v>0</v>
      </c>
      <c r="BB57" s="3"/>
      <c r="BC57" s="14">
        <f t="shared" si="1"/>
        <v>15193524</v>
      </c>
      <c r="BD57" s="3" t="s">
        <v>375</v>
      </c>
      <c r="BF57" s="13" t="s">
        <v>199</v>
      </c>
      <c r="BG57" s="3"/>
      <c r="BH57" s="3">
        <v>467203</v>
      </c>
      <c r="BI57" s="3"/>
      <c r="BJ57" s="3">
        <v>0</v>
      </c>
      <c r="BK57" s="3"/>
      <c r="BL57" s="3">
        <v>0</v>
      </c>
      <c r="BM57" s="3"/>
      <c r="BN57" s="3">
        <v>0</v>
      </c>
      <c r="BO57" s="3"/>
      <c r="BP57" s="14">
        <f t="shared" si="3"/>
        <v>15660727</v>
      </c>
      <c r="BQ57" s="3"/>
      <c r="BR57" s="14">
        <f>GovRev!AT57-BP57</f>
        <v>-1057988</v>
      </c>
      <c r="BS57" s="3"/>
      <c r="BT57" s="3">
        <v>9677666</v>
      </c>
      <c r="BU57" s="3"/>
      <c r="BV57" s="3">
        <v>0</v>
      </c>
      <c r="BW57" s="3"/>
      <c r="BX57" s="14">
        <f t="shared" si="2"/>
        <v>8619678</v>
      </c>
      <c r="BY57" s="14"/>
      <c r="BZ57" s="14">
        <f>-BX57+GovBS!AC57</f>
        <v>0</v>
      </c>
    </row>
    <row r="58" spans="1:78" s="13" customFormat="1">
      <c r="A58" s="3" t="s">
        <v>208</v>
      </c>
      <c r="C58" s="13" t="s">
        <v>156</v>
      </c>
      <c r="E58" s="3">
        <v>288449</v>
      </c>
      <c r="F58" s="3"/>
      <c r="G58" s="3">
        <v>135057</v>
      </c>
      <c r="H58" s="3"/>
      <c r="I58" s="3">
        <v>3787559</v>
      </c>
      <c r="J58" s="3"/>
      <c r="K58" s="3">
        <v>356729</v>
      </c>
      <c r="L58" s="3"/>
      <c r="M58" s="3">
        <v>0</v>
      </c>
      <c r="N58" s="3"/>
      <c r="O58" s="3">
        <v>469765</v>
      </c>
      <c r="P58" s="3"/>
      <c r="Q58" s="3">
        <v>161072</v>
      </c>
      <c r="R58" s="3"/>
      <c r="S58" s="3">
        <v>69991</v>
      </c>
      <c r="T58" s="3"/>
      <c r="U58" s="3">
        <v>415292</v>
      </c>
      <c r="V58" s="3"/>
      <c r="W58" s="3">
        <v>450999</v>
      </c>
      <c r="X58" s="3"/>
      <c r="Y58" s="3">
        <v>215</v>
      </c>
      <c r="Z58" s="3"/>
      <c r="AA58" s="3">
        <v>695918</v>
      </c>
      <c r="AB58" s="3"/>
      <c r="AC58" s="3" t="s">
        <v>208</v>
      </c>
      <c r="AE58" s="13" t="s">
        <v>156</v>
      </c>
      <c r="AG58" s="3">
        <v>0</v>
      </c>
      <c r="AH58" s="3"/>
      <c r="AI58" s="3">
        <v>101062</v>
      </c>
      <c r="AJ58" s="3"/>
      <c r="AK58" s="3"/>
      <c r="AL58" s="3"/>
      <c r="AM58" s="3">
        <v>0</v>
      </c>
      <c r="AN58" s="3"/>
      <c r="AO58" s="3">
        <v>210406</v>
      </c>
      <c r="AP58" s="3"/>
      <c r="AQ58" s="3">
        <v>45991</v>
      </c>
      <c r="AR58" s="3"/>
      <c r="AS58" s="3">
        <v>0</v>
      </c>
      <c r="AT58" s="3"/>
      <c r="AU58" s="3">
        <v>0</v>
      </c>
      <c r="AV58" s="3"/>
      <c r="AW58" s="3">
        <v>0</v>
      </c>
      <c r="AX58" s="3"/>
      <c r="AY58" s="3">
        <v>0</v>
      </c>
      <c r="AZ58" s="3"/>
      <c r="BA58" s="3">
        <v>0</v>
      </c>
      <c r="BB58" s="3"/>
      <c r="BC58" s="14">
        <f t="shared" si="1"/>
        <v>7188505</v>
      </c>
      <c r="BD58" s="3" t="s">
        <v>208</v>
      </c>
      <c r="BF58" s="13" t="s">
        <v>156</v>
      </c>
      <c r="BG58" s="3"/>
      <c r="BH58" s="3">
        <v>100000</v>
      </c>
      <c r="BI58" s="3"/>
      <c r="BJ58" s="3">
        <v>0</v>
      </c>
      <c r="BK58" s="3"/>
      <c r="BL58" s="3">
        <v>0</v>
      </c>
      <c r="BM58" s="3"/>
      <c r="BN58" s="3">
        <v>0</v>
      </c>
      <c r="BO58" s="3"/>
      <c r="BP58" s="14">
        <f t="shared" si="3"/>
        <v>7288505</v>
      </c>
      <c r="BQ58" s="3"/>
      <c r="BR58" s="14">
        <f>GovRev!AT58-BP58</f>
        <v>524351</v>
      </c>
      <c r="BS58" s="3"/>
      <c r="BT58" s="3">
        <v>10116730</v>
      </c>
      <c r="BU58" s="3"/>
      <c r="BV58" s="3">
        <v>0</v>
      </c>
      <c r="BW58" s="3"/>
      <c r="BX58" s="14">
        <f t="shared" si="2"/>
        <v>10641081</v>
      </c>
      <c r="BY58" s="14"/>
      <c r="BZ58" s="14">
        <f>-BX58+GovBS!AC58</f>
        <v>0</v>
      </c>
    </row>
    <row r="59" spans="1:78" s="13" customFormat="1">
      <c r="A59" s="3" t="s">
        <v>363</v>
      </c>
      <c r="C59" s="13" t="s">
        <v>182</v>
      </c>
      <c r="E59" s="3">
        <v>1865572</v>
      </c>
      <c r="F59" s="3"/>
      <c r="G59" s="3">
        <v>533434</v>
      </c>
      <c r="H59" s="3"/>
      <c r="I59" s="3">
        <v>8032616</v>
      </c>
      <c r="J59" s="3"/>
      <c r="K59" s="3">
        <v>1349065</v>
      </c>
      <c r="L59" s="3"/>
      <c r="M59" s="3">
        <v>137214</v>
      </c>
      <c r="N59" s="3"/>
      <c r="O59" s="3">
        <v>1438161</v>
      </c>
      <c r="P59" s="3"/>
      <c r="Q59" s="3">
        <v>977170</v>
      </c>
      <c r="R59" s="3"/>
      <c r="S59" s="3">
        <v>36078</v>
      </c>
      <c r="T59" s="3"/>
      <c r="U59" s="3">
        <v>1181687</v>
      </c>
      <c r="V59" s="3"/>
      <c r="W59" s="3">
        <v>591451</v>
      </c>
      <c r="X59" s="3"/>
      <c r="Y59" s="3">
        <v>163128</v>
      </c>
      <c r="Z59" s="3"/>
      <c r="AA59" s="3">
        <v>1514153</v>
      </c>
      <c r="AB59" s="3"/>
      <c r="AC59" s="3" t="s">
        <v>363</v>
      </c>
      <c r="AE59" s="13" t="s">
        <v>182</v>
      </c>
      <c r="AG59" s="3">
        <v>44639</v>
      </c>
      <c r="AH59" s="3"/>
      <c r="AI59" s="3">
        <v>848946</v>
      </c>
      <c r="AJ59" s="3"/>
      <c r="AK59" s="3"/>
      <c r="AL59" s="3"/>
      <c r="AM59" s="3">
        <v>0</v>
      </c>
      <c r="AN59" s="3"/>
      <c r="AO59" s="3">
        <v>964133</v>
      </c>
      <c r="AP59" s="3"/>
      <c r="AQ59" s="3">
        <v>52719</v>
      </c>
      <c r="AR59" s="3"/>
      <c r="AS59" s="3">
        <v>14613555</v>
      </c>
      <c r="AT59" s="3"/>
      <c r="AU59" s="3">
        <v>0</v>
      </c>
      <c r="AV59" s="3"/>
      <c r="AW59" s="3">
        <v>760000</v>
      </c>
      <c r="AX59" s="3"/>
      <c r="AY59" s="3">
        <v>158513</v>
      </c>
      <c r="AZ59" s="3"/>
      <c r="BA59" s="3">
        <v>0</v>
      </c>
      <c r="BB59" s="3"/>
      <c r="BC59" s="14">
        <f t="shared" si="1"/>
        <v>35262234</v>
      </c>
      <c r="BD59" s="3" t="s">
        <v>363</v>
      </c>
      <c r="BF59" s="13" t="s">
        <v>182</v>
      </c>
      <c r="BG59" s="3"/>
      <c r="BH59" s="3">
        <v>375000</v>
      </c>
      <c r="BI59" s="3"/>
      <c r="BJ59" s="3">
        <v>0</v>
      </c>
      <c r="BK59" s="3"/>
      <c r="BL59" s="3">
        <v>0</v>
      </c>
      <c r="BM59" s="3"/>
      <c r="BN59" s="3">
        <v>0</v>
      </c>
      <c r="BO59" s="3"/>
      <c r="BP59" s="14">
        <f t="shared" si="3"/>
        <v>35637234</v>
      </c>
      <c r="BQ59" s="3"/>
      <c r="BR59" s="14">
        <f>GovRev!AT59-BP59</f>
        <v>-3798808</v>
      </c>
      <c r="BS59" s="3"/>
      <c r="BT59" s="3">
        <v>14637493</v>
      </c>
      <c r="BU59" s="3"/>
      <c r="BV59" s="3">
        <v>0</v>
      </c>
      <c r="BW59" s="3"/>
      <c r="BX59" s="14">
        <f t="shared" si="2"/>
        <v>10838685</v>
      </c>
      <c r="BY59" s="14"/>
      <c r="BZ59" s="14">
        <f>-BX59+GovBS!AC59</f>
        <v>0</v>
      </c>
    </row>
    <row r="60" spans="1:78" s="13" customFormat="1">
      <c r="A60" s="3" t="s">
        <v>253</v>
      </c>
      <c r="C60" s="13" t="s">
        <v>193</v>
      </c>
      <c r="E60" s="3">
        <v>191158</v>
      </c>
      <c r="F60" s="3"/>
      <c r="G60" s="3">
        <v>126125</v>
      </c>
      <c r="H60" s="3"/>
      <c r="I60" s="3">
        <v>8442356</v>
      </c>
      <c r="J60" s="3"/>
      <c r="K60" s="3">
        <v>622019</v>
      </c>
      <c r="L60" s="3"/>
      <c r="M60" s="3">
        <v>0</v>
      </c>
      <c r="N60" s="3"/>
      <c r="O60" s="3">
        <v>649771</v>
      </c>
      <c r="P60" s="3"/>
      <c r="Q60" s="3">
        <v>748761</v>
      </c>
      <c r="R60" s="3"/>
      <c r="S60" s="3">
        <v>107707</v>
      </c>
      <c r="T60" s="3"/>
      <c r="U60" s="3">
        <v>887062</v>
      </c>
      <c r="V60" s="3"/>
      <c r="W60" s="3">
        <v>540521</v>
      </c>
      <c r="X60" s="3"/>
      <c r="Y60" s="3">
        <v>0</v>
      </c>
      <c r="Z60" s="3"/>
      <c r="AA60" s="3">
        <v>1344424</v>
      </c>
      <c r="AB60" s="3"/>
      <c r="AC60" s="3" t="s">
        <v>253</v>
      </c>
      <c r="AE60" s="13" t="s">
        <v>193</v>
      </c>
      <c r="AG60" s="3">
        <v>58921</v>
      </c>
      <c r="AH60" s="3"/>
      <c r="AI60" s="3">
        <v>0</v>
      </c>
      <c r="AJ60" s="3"/>
      <c r="AK60" s="3"/>
      <c r="AL60" s="3"/>
      <c r="AM60" s="3">
        <v>173231</v>
      </c>
      <c r="AN60" s="3"/>
      <c r="AO60" s="3">
        <v>173</v>
      </c>
      <c r="AP60" s="3"/>
      <c r="AQ60" s="3">
        <v>9366</v>
      </c>
      <c r="AR60" s="3"/>
      <c r="AS60" s="3">
        <v>19337183</v>
      </c>
      <c r="AT60" s="3"/>
      <c r="AU60" s="3">
        <v>0</v>
      </c>
      <c r="AV60" s="3"/>
      <c r="AW60" s="3">
        <v>345000</v>
      </c>
      <c r="AX60" s="3"/>
      <c r="AY60" s="3">
        <v>103069</v>
      </c>
      <c r="AZ60" s="3"/>
      <c r="BA60" s="3">
        <v>0</v>
      </c>
      <c r="BB60" s="3"/>
      <c r="BC60" s="14">
        <f t="shared" si="1"/>
        <v>33686847</v>
      </c>
      <c r="BD60" s="3" t="s">
        <v>253</v>
      </c>
      <c r="BF60" s="13" t="s">
        <v>193</v>
      </c>
      <c r="BG60" s="3"/>
      <c r="BH60" s="3">
        <v>1209644</v>
      </c>
      <c r="BI60" s="3"/>
      <c r="BJ60" s="3">
        <v>0</v>
      </c>
      <c r="BK60" s="3"/>
      <c r="BL60" s="3">
        <v>0</v>
      </c>
      <c r="BM60" s="3"/>
      <c r="BN60" s="3">
        <v>0</v>
      </c>
      <c r="BO60" s="3"/>
      <c r="BP60" s="14">
        <f t="shared" si="3"/>
        <v>34896491</v>
      </c>
      <c r="BQ60" s="3"/>
      <c r="BR60" s="14">
        <f>GovRev!AT60-BP60</f>
        <v>-11441077</v>
      </c>
      <c r="BS60" s="3"/>
      <c r="BT60" s="3">
        <v>30200721</v>
      </c>
      <c r="BU60" s="3"/>
      <c r="BV60" s="3">
        <v>0</v>
      </c>
      <c r="BW60" s="3"/>
      <c r="BX60" s="14">
        <f t="shared" si="2"/>
        <v>18759644</v>
      </c>
      <c r="BY60" s="14"/>
      <c r="BZ60" s="14">
        <f>-BX60+GovBS!AC60</f>
        <v>0</v>
      </c>
    </row>
    <row r="61" spans="1:78" s="13" customFormat="1">
      <c r="A61" s="3" t="s">
        <v>254</v>
      </c>
      <c r="C61" s="13" t="s">
        <v>202</v>
      </c>
      <c r="E61" s="3">
        <v>0</v>
      </c>
      <c r="F61" s="3"/>
      <c r="G61" s="3">
        <v>0</v>
      </c>
      <c r="H61" s="3"/>
      <c r="I61" s="3">
        <v>4783213</v>
      </c>
      <c r="J61" s="3"/>
      <c r="K61" s="3">
        <v>788418</v>
      </c>
      <c r="L61" s="3"/>
      <c r="M61" s="3">
        <v>0</v>
      </c>
      <c r="N61" s="3"/>
      <c r="O61" s="3">
        <v>460108</v>
      </c>
      <c r="P61" s="3"/>
      <c r="Q61" s="3">
        <v>287189</v>
      </c>
      <c r="R61" s="3"/>
      <c r="S61" s="3">
        <v>127935</v>
      </c>
      <c r="T61" s="3"/>
      <c r="U61" s="3">
        <v>475391</v>
      </c>
      <c r="V61" s="3"/>
      <c r="W61" s="3">
        <v>376267</v>
      </c>
      <c r="X61" s="3"/>
      <c r="Y61" s="3">
        <v>28380</v>
      </c>
      <c r="Z61" s="3"/>
      <c r="AA61" s="3">
        <v>619714</v>
      </c>
      <c r="AB61" s="3"/>
      <c r="AC61" s="3" t="s">
        <v>254</v>
      </c>
      <c r="AE61" s="13" t="s">
        <v>202</v>
      </c>
      <c r="AG61" s="3">
        <v>1421</v>
      </c>
      <c r="AH61" s="3"/>
      <c r="AI61" s="3">
        <v>556053</v>
      </c>
      <c r="AJ61" s="3"/>
      <c r="AK61" s="3"/>
      <c r="AL61" s="3"/>
      <c r="AM61" s="3">
        <v>261567</v>
      </c>
      <c r="AN61" s="3"/>
      <c r="AO61" s="3">
        <v>85</v>
      </c>
      <c r="AP61" s="3"/>
      <c r="AQ61" s="3">
        <v>51260</v>
      </c>
      <c r="AR61" s="3"/>
      <c r="AS61" s="3">
        <v>21417288</v>
      </c>
      <c r="AT61" s="3"/>
      <c r="AU61" s="3">
        <v>0</v>
      </c>
      <c r="AV61" s="3"/>
      <c r="AW61" s="3">
        <v>509139</v>
      </c>
      <c r="AX61" s="3"/>
      <c r="AY61" s="3">
        <v>886745</v>
      </c>
      <c r="AZ61" s="3"/>
      <c r="BA61" s="3">
        <v>0</v>
      </c>
      <c r="BB61" s="3"/>
      <c r="BC61" s="14">
        <f t="shared" si="1"/>
        <v>31630173</v>
      </c>
      <c r="BD61" s="3" t="s">
        <v>254</v>
      </c>
      <c r="BF61" s="13" t="s">
        <v>202</v>
      </c>
      <c r="BG61" s="3"/>
      <c r="BH61" s="3">
        <v>360040</v>
      </c>
      <c r="BI61" s="3"/>
      <c r="BJ61" s="3">
        <v>0</v>
      </c>
      <c r="BK61" s="3"/>
      <c r="BL61" s="3">
        <v>0</v>
      </c>
      <c r="BM61" s="3"/>
      <c r="BN61" s="3">
        <v>0</v>
      </c>
      <c r="BO61" s="3"/>
      <c r="BP61" s="14">
        <f t="shared" si="3"/>
        <v>31990213</v>
      </c>
      <c r="BQ61" s="3"/>
      <c r="BR61" s="14">
        <f>GovRev!AT61-BP61</f>
        <v>-12422067</v>
      </c>
      <c r="BS61" s="3"/>
      <c r="BT61" s="3">
        <v>28826095</v>
      </c>
      <c r="BU61" s="3"/>
      <c r="BV61" s="3">
        <v>0</v>
      </c>
      <c r="BW61" s="3"/>
      <c r="BX61" s="14">
        <f t="shared" si="2"/>
        <v>16404028</v>
      </c>
      <c r="BY61" s="14"/>
      <c r="BZ61" s="14">
        <f>-BX61+GovBS!AC61</f>
        <v>0</v>
      </c>
    </row>
    <row r="62" spans="1:78" s="13" customFormat="1">
      <c r="A62" s="3" t="s">
        <v>360</v>
      </c>
      <c r="C62" s="13" t="s">
        <v>203</v>
      </c>
      <c r="E62" s="3">
        <v>3900</v>
      </c>
      <c r="F62" s="3"/>
      <c r="G62" s="3">
        <v>172784</v>
      </c>
      <c r="H62" s="3"/>
      <c r="I62" s="3">
        <v>6884880</v>
      </c>
      <c r="J62" s="3"/>
      <c r="K62" s="3">
        <v>1661377</v>
      </c>
      <c r="L62" s="3"/>
      <c r="M62" s="3">
        <v>0</v>
      </c>
      <c r="N62" s="3"/>
      <c r="O62" s="3">
        <v>1026122</v>
      </c>
      <c r="P62" s="3"/>
      <c r="Q62" s="3">
        <v>478850</v>
      </c>
      <c r="R62" s="3"/>
      <c r="S62" s="3">
        <v>22965</v>
      </c>
      <c r="T62" s="3"/>
      <c r="U62" s="3">
        <v>1546088</v>
      </c>
      <c r="V62" s="3"/>
      <c r="W62" s="3">
        <v>527464</v>
      </c>
      <c r="X62" s="3"/>
      <c r="Y62" s="3">
        <v>19862</v>
      </c>
      <c r="Z62" s="3"/>
      <c r="AA62" s="3">
        <v>1171945</v>
      </c>
      <c r="AB62" s="3"/>
      <c r="AC62" s="3" t="s">
        <v>360</v>
      </c>
      <c r="AE62" s="13" t="s">
        <v>203</v>
      </c>
      <c r="AG62" s="3">
        <v>100669</v>
      </c>
      <c r="AH62" s="3"/>
      <c r="AI62" s="3">
        <v>1671823</v>
      </c>
      <c r="AJ62" s="3"/>
      <c r="AK62" s="3"/>
      <c r="AL62" s="3"/>
      <c r="AM62" s="3">
        <v>0</v>
      </c>
      <c r="AN62" s="3"/>
      <c r="AO62" s="3">
        <v>372392</v>
      </c>
      <c r="AP62" s="3"/>
      <c r="AQ62" s="3">
        <v>86509</v>
      </c>
      <c r="AR62" s="3"/>
      <c r="AS62" s="3">
        <v>636668</v>
      </c>
      <c r="AT62" s="3"/>
      <c r="AU62" s="3">
        <v>0</v>
      </c>
      <c r="AV62" s="3"/>
      <c r="AW62" s="3">
        <v>530973</v>
      </c>
      <c r="AX62" s="3"/>
      <c r="AY62" s="3">
        <v>266719</v>
      </c>
      <c r="AZ62" s="3"/>
      <c r="BA62" s="3">
        <v>0</v>
      </c>
      <c r="BB62" s="3"/>
      <c r="BC62" s="14">
        <f t="shared" si="1"/>
        <v>17181990</v>
      </c>
      <c r="BD62" s="3" t="s">
        <v>360</v>
      </c>
      <c r="BF62" s="13" t="s">
        <v>203</v>
      </c>
      <c r="BG62" s="3"/>
      <c r="BH62" s="3">
        <v>8396666</v>
      </c>
      <c r="BI62" s="3"/>
      <c r="BJ62" s="3">
        <v>0</v>
      </c>
      <c r="BK62" s="3"/>
      <c r="BL62" s="3">
        <v>0</v>
      </c>
      <c r="BM62" s="3"/>
      <c r="BN62" s="3">
        <v>0</v>
      </c>
      <c r="BO62" s="3"/>
      <c r="BP62" s="14">
        <f t="shared" si="3"/>
        <v>25578656</v>
      </c>
      <c r="BQ62" s="3"/>
      <c r="BR62" s="14">
        <f>GovRev!AT62-BP62</f>
        <v>1444680</v>
      </c>
      <c r="BS62" s="3"/>
      <c r="BT62" s="3">
        <f>11890242+825332+965133+265459</f>
        <v>13946166</v>
      </c>
      <c r="BU62" s="3"/>
      <c r="BV62" s="3">
        <v>0</v>
      </c>
      <c r="BW62" s="3"/>
      <c r="BX62" s="14">
        <f t="shared" si="2"/>
        <v>15390846</v>
      </c>
      <c r="BY62" s="14"/>
      <c r="BZ62" s="14">
        <f>-BX62+GovBS!AC62</f>
        <v>0</v>
      </c>
    </row>
    <row r="63" spans="1:78" s="13" customFormat="1">
      <c r="A63" s="3" t="s">
        <v>267</v>
      </c>
      <c r="C63" s="13" t="s">
        <v>204</v>
      </c>
      <c r="E63" s="3">
        <v>872809</v>
      </c>
      <c r="F63" s="3"/>
      <c r="G63" s="3">
        <v>0</v>
      </c>
      <c r="H63" s="3"/>
      <c r="I63" s="3">
        <v>2127477</v>
      </c>
      <c r="J63" s="3"/>
      <c r="K63" s="3">
        <v>88759</v>
      </c>
      <c r="L63" s="3"/>
      <c r="M63" s="3">
        <v>0</v>
      </c>
      <c r="N63" s="3"/>
      <c r="O63" s="3">
        <v>328309</v>
      </c>
      <c r="P63" s="3"/>
      <c r="Q63" s="3">
        <v>356757</v>
      </c>
      <c r="R63" s="3"/>
      <c r="S63" s="3">
        <v>16483</v>
      </c>
      <c r="T63" s="3"/>
      <c r="U63" s="3">
        <v>490587</v>
      </c>
      <c r="V63" s="3"/>
      <c r="W63" s="3">
        <v>329798</v>
      </c>
      <c r="X63" s="3"/>
      <c r="Y63" s="3">
        <v>29132</v>
      </c>
      <c r="Z63" s="3"/>
      <c r="AA63" s="3">
        <v>649743</v>
      </c>
      <c r="AB63" s="3"/>
      <c r="AC63" s="3" t="s">
        <v>267</v>
      </c>
      <c r="AE63" s="13" t="s">
        <v>204</v>
      </c>
      <c r="AG63" s="3">
        <v>8563</v>
      </c>
      <c r="AH63" s="3"/>
      <c r="AI63" s="3">
        <v>340443</v>
      </c>
      <c r="AJ63" s="3"/>
      <c r="AK63" s="3"/>
      <c r="AL63" s="3"/>
      <c r="AM63" s="3">
        <v>0</v>
      </c>
      <c r="AN63" s="3"/>
      <c r="AO63" s="3">
        <v>761363</v>
      </c>
      <c r="AP63" s="3"/>
      <c r="AQ63" s="3">
        <v>4875</v>
      </c>
      <c r="AR63" s="3"/>
      <c r="AS63" s="3">
        <v>2718</v>
      </c>
      <c r="AT63" s="3"/>
      <c r="AU63" s="3">
        <v>0</v>
      </c>
      <c r="AV63" s="3"/>
      <c r="AW63" s="3">
        <v>111335</v>
      </c>
      <c r="AX63" s="3"/>
      <c r="AY63" s="3">
        <v>55524</v>
      </c>
      <c r="AZ63" s="3"/>
      <c r="BA63" s="3">
        <v>0</v>
      </c>
      <c r="BB63" s="3"/>
      <c r="BC63" s="14">
        <f t="shared" si="1"/>
        <v>6574675</v>
      </c>
      <c r="BD63" s="3" t="s">
        <v>267</v>
      </c>
      <c r="BF63" s="13" t="s">
        <v>204</v>
      </c>
      <c r="BG63" s="3"/>
      <c r="BH63" s="3">
        <v>80000</v>
      </c>
      <c r="BI63" s="3"/>
      <c r="BJ63" s="3">
        <v>0</v>
      </c>
      <c r="BK63" s="3"/>
      <c r="BL63" s="3">
        <v>0</v>
      </c>
      <c r="BM63" s="3"/>
      <c r="BN63" s="3">
        <v>0</v>
      </c>
      <c r="BO63" s="3"/>
      <c r="BP63" s="14">
        <f t="shared" si="3"/>
        <v>6654675</v>
      </c>
      <c r="BQ63" s="3"/>
      <c r="BR63" s="14">
        <f>GovRev!AT63-BP63</f>
        <v>265500</v>
      </c>
      <c r="BS63" s="3"/>
      <c r="BT63" s="3">
        <v>3292253</v>
      </c>
      <c r="BU63" s="3"/>
      <c r="BV63" s="3">
        <v>0</v>
      </c>
      <c r="BW63" s="3"/>
      <c r="BX63" s="14">
        <f t="shared" si="2"/>
        <v>3557753</v>
      </c>
      <c r="BY63" s="14"/>
      <c r="BZ63" s="14">
        <f>-BX63+GovBS!AC63</f>
        <v>0</v>
      </c>
    </row>
    <row r="64" spans="1:78" s="13" customFormat="1">
      <c r="A64" s="3" t="s">
        <v>361</v>
      </c>
      <c r="C64" s="13" t="s">
        <v>205</v>
      </c>
      <c r="E64" s="3">
        <v>1957855</v>
      </c>
      <c r="F64" s="3"/>
      <c r="G64" s="3">
        <v>7924</v>
      </c>
      <c r="H64" s="3"/>
      <c r="I64" s="3">
        <v>5187302</v>
      </c>
      <c r="J64" s="3"/>
      <c r="K64" s="3">
        <v>1358557</v>
      </c>
      <c r="L64" s="3"/>
      <c r="M64" s="3">
        <v>0</v>
      </c>
      <c r="N64" s="3"/>
      <c r="O64" s="3">
        <v>613530</v>
      </c>
      <c r="P64" s="3"/>
      <c r="Q64" s="3">
        <v>1917383</v>
      </c>
      <c r="R64" s="3"/>
      <c r="S64" s="3">
        <v>60683</v>
      </c>
      <c r="T64" s="3"/>
      <c r="U64" s="3">
        <v>829020</v>
      </c>
      <c r="V64" s="3"/>
      <c r="W64" s="3">
        <v>466267</v>
      </c>
      <c r="X64" s="3"/>
      <c r="Y64" s="3">
        <v>0</v>
      </c>
      <c r="Z64" s="3"/>
      <c r="AA64" s="3">
        <v>986308</v>
      </c>
      <c r="AB64" s="3"/>
      <c r="AC64" s="3" t="s">
        <v>361</v>
      </c>
      <c r="AE64" s="13" t="s">
        <v>205</v>
      </c>
      <c r="AG64" s="3">
        <v>4540</v>
      </c>
      <c r="AH64" s="3"/>
      <c r="AI64" s="3">
        <v>82754</v>
      </c>
      <c r="AJ64" s="3"/>
      <c r="AK64" s="3"/>
      <c r="AL64" s="3"/>
      <c r="AM64" s="3">
        <v>229945</v>
      </c>
      <c r="AN64" s="3"/>
      <c r="AO64" s="3">
        <v>538708</v>
      </c>
      <c r="AP64" s="3"/>
      <c r="AQ64" s="3">
        <v>0</v>
      </c>
      <c r="AR64" s="3"/>
      <c r="AS64" s="3">
        <v>3285380</v>
      </c>
      <c r="AT64" s="3"/>
      <c r="AU64" s="3">
        <v>0</v>
      </c>
      <c r="AV64" s="3"/>
      <c r="AW64" s="3">
        <v>930000</v>
      </c>
      <c r="AX64" s="3"/>
      <c r="AY64" s="3">
        <v>294194</v>
      </c>
      <c r="AZ64" s="3"/>
      <c r="BA64" s="3">
        <v>0</v>
      </c>
      <c r="BB64" s="3"/>
      <c r="BC64" s="14">
        <f t="shared" si="1"/>
        <v>18750350</v>
      </c>
      <c r="BD64" s="3" t="s">
        <v>361</v>
      </c>
      <c r="BF64" s="13" t="s">
        <v>205</v>
      </c>
      <c r="BG64" s="3"/>
      <c r="BH64" s="3">
        <v>164757</v>
      </c>
      <c r="BI64" s="3"/>
      <c r="BJ64" s="3">
        <v>0</v>
      </c>
      <c r="BK64" s="3"/>
      <c r="BL64" s="3">
        <v>0</v>
      </c>
      <c r="BM64" s="3"/>
      <c r="BN64" s="3">
        <v>0</v>
      </c>
      <c r="BO64" s="3"/>
      <c r="BP64" s="14">
        <f t="shared" si="3"/>
        <v>18915107</v>
      </c>
      <c r="BQ64" s="3"/>
      <c r="BR64" s="14">
        <f>GovRev!AT64-BP64</f>
        <v>-1584905</v>
      </c>
      <c r="BS64" s="3"/>
      <c r="BT64" s="3">
        <v>13055731</v>
      </c>
      <c r="BU64" s="3"/>
      <c r="BV64" s="3">
        <v>0</v>
      </c>
      <c r="BW64" s="3"/>
      <c r="BX64" s="14">
        <f t="shared" si="2"/>
        <v>11470826</v>
      </c>
      <c r="BY64" s="14"/>
      <c r="BZ64" s="14">
        <f>-BX64+GovBS!AC64</f>
        <v>0</v>
      </c>
    </row>
    <row r="65" spans="1:78" s="13" customFormat="1">
      <c r="A65" s="3"/>
      <c r="C65" s="3"/>
      <c r="K65" s="23"/>
      <c r="BH65" s="3"/>
      <c r="BI65" s="3"/>
      <c r="BJ65" s="3"/>
      <c r="BK65" s="3"/>
      <c r="BL65" s="3"/>
      <c r="BM65" s="3"/>
      <c r="BN65" s="3"/>
      <c r="BO65" s="3"/>
      <c r="BP65" s="14"/>
      <c r="BQ65" s="3"/>
      <c r="BR65" s="14"/>
      <c r="BS65" s="3"/>
      <c r="BT65" s="3"/>
      <c r="BU65" s="3"/>
      <c r="BV65" s="3"/>
      <c r="BW65" s="3"/>
      <c r="BX65" s="14"/>
      <c r="BY65" s="3"/>
      <c r="BZ65" s="14"/>
    </row>
    <row r="66" spans="1:78" s="13" customFormat="1">
      <c r="A66" s="72"/>
      <c r="B66" s="72"/>
      <c r="C66" s="72"/>
      <c r="D66" s="72"/>
      <c r="E66" s="72"/>
      <c r="F66" s="72"/>
      <c r="G66" s="72"/>
      <c r="H66" s="72"/>
      <c r="I66" s="72"/>
      <c r="J66" s="59"/>
      <c r="K66" s="23"/>
      <c r="AA66" s="30" t="s">
        <v>257</v>
      </c>
      <c r="BC66" s="30" t="s">
        <v>257</v>
      </c>
      <c r="BH66" s="3"/>
      <c r="BI66" s="3"/>
      <c r="BJ66" s="3"/>
      <c r="BK66" s="3"/>
      <c r="BL66" s="3"/>
      <c r="BM66" s="3"/>
      <c r="BN66" s="3"/>
      <c r="BO66" s="3"/>
      <c r="BP66" s="14"/>
      <c r="BQ66" s="3"/>
      <c r="BR66" s="14"/>
      <c r="BS66" s="3"/>
      <c r="BT66" s="3"/>
      <c r="BU66" s="3"/>
      <c r="BV66" s="3"/>
      <c r="BW66" s="3"/>
      <c r="BX66" s="14" t="s">
        <v>257</v>
      </c>
      <c r="BY66" s="3"/>
      <c r="BZ66" s="14"/>
    </row>
    <row r="67" spans="1:78" s="13" customFormat="1">
      <c r="A67" s="31" t="s">
        <v>256</v>
      </c>
      <c r="K67" s="23"/>
      <c r="AC67" s="31" t="s">
        <v>256</v>
      </c>
      <c r="BD67" s="31" t="s">
        <v>256</v>
      </c>
      <c r="BH67" s="3"/>
      <c r="BI67" s="3"/>
      <c r="BJ67" s="3"/>
      <c r="BK67" s="3"/>
      <c r="BL67" s="3"/>
      <c r="BM67" s="3"/>
      <c r="BN67" s="3"/>
      <c r="BO67" s="3"/>
      <c r="BP67" s="14"/>
      <c r="BQ67" s="3"/>
      <c r="BR67" s="14"/>
      <c r="BS67" s="3"/>
      <c r="BT67" s="3"/>
      <c r="BU67" s="3"/>
      <c r="BV67" s="3"/>
      <c r="BW67" s="3"/>
      <c r="BX67" s="14"/>
      <c r="BY67" s="3"/>
      <c r="BZ67" s="14"/>
    </row>
    <row r="68" spans="1:78" s="13" customFormat="1">
      <c r="A68" s="31"/>
      <c r="K68" s="23"/>
      <c r="AC68" s="31"/>
      <c r="BD68" s="31"/>
      <c r="BH68" s="3"/>
      <c r="BI68" s="3"/>
      <c r="BJ68" s="3"/>
      <c r="BK68" s="3"/>
      <c r="BL68" s="3"/>
      <c r="BM68" s="3"/>
      <c r="BN68" s="3"/>
      <c r="BO68" s="3"/>
      <c r="BP68" s="14"/>
      <c r="BQ68" s="3"/>
      <c r="BR68" s="14"/>
      <c r="BS68" s="3"/>
      <c r="BT68" s="3"/>
      <c r="BU68" s="3"/>
      <c r="BV68" s="3"/>
      <c r="BW68" s="3"/>
      <c r="BX68" s="14"/>
      <c r="BY68" s="3"/>
      <c r="BZ68" s="14"/>
    </row>
    <row r="69" spans="1:78" s="17" customFormat="1" hidden="1">
      <c r="A69" s="3" t="s">
        <v>333</v>
      </c>
      <c r="B69" s="3"/>
      <c r="C69" s="3" t="s">
        <v>263</v>
      </c>
      <c r="E69" s="3">
        <v>0</v>
      </c>
      <c r="F69" s="3"/>
      <c r="G69" s="3">
        <v>0</v>
      </c>
      <c r="H69" s="3"/>
      <c r="I69" s="3">
        <v>0</v>
      </c>
      <c r="J69" s="3"/>
      <c r="K69" s="3">
        <v>0</v>
      </c>
      <c r="L69" s="3"/>
      <c r="M69" s="3">
        <v>0</v>
      </c>
      <c r="N69" s="3"/>
      <c r="O69" s="3">
        <v>0</v>
      </c>
      <c r="P69" s="3"/>
      <c r="Q69" s="3">
        <v>0</v>
      </c>
      <c r="R69" s="3"/>
      <c r="S69" s="3">
        <v>0</v>
      </c>
      <c r="T69" s="3"/>
      <c r="U69" s="3">
        <v>0</v>
      </c>
      <c r="V69" s="3"/>
      <c r="W69" s="3">
        <v>0</v>
      </c>
      <c r="X69" s="3"/>
      <c r="Y69" s="3">
        <v>0</v>
      </c>
      <c r="Z69" s="3"/>
      <c r="AA69" s="3">
        <v>0</v>
      </c>
      <c r="AC69" s="3" t="s">
        <v>333</v>
      </c>
      <c r="AE69" s="3" t="s">
        <v>263</v>
      </c>
      <c r="AG69" s="3">
        <v>0</v>
      </c>
      <c r="AH69" s="3"/>
      <c r="AI69" s="3">
        <v>0</v>
      </c>
      <c r="AJ69" s="3"/>
      <c r="AK69" s="3"/>
      <c r="AL69" s="3"/>
      <c r="AM69" s="3">
        <v>0</v>
      </c>
      <c r="AN69" s="3"/>
      <c r="AO69" s="3">
        <v>0</v>
      </c>
      <c r="AP69" s="3"/>
      <c r="AQ69" s="3">
        <v>0</v>
      </c>
      <c r="AR69" s="3"/>
      <c r="AS69" s="3">
        <v>0</v>
      </c>
      <c r="AT69" s="3"/>
      <c r="AU69" s="3">
        <v>0</v>
      </c>
      <c r="AV69" s="3"/>
      <c r="AW69" s="3">
        <v>0</v>
      </c>
      <c r="AX69" s="3"/>
      <c r="AY69" s="3">
        <v>0</v>
      </c>
      <c r="AZ69" s="3"/>
      <c r="BA69" s="3"/>
      <c r="BB69" s="3"/>
      <c r="BC69" s="14">
        <f>SUM(E69:BA69)</f>
        <v>0</v>
      </c>
      <c r="BD69" s="3" t="s">
        <v>333</v>
      </c>
      <c r="BF69" s="3" t="s">
        <v>263</v>
      </c>
      <c r="BH69" s="3">
        <v>0</v>
      </c>
      <c r="BI69" s="3"/>
      <c r="BJ69" s="3"/>
      <c r="BK69" s="3"/>
      <c r="BL69" s="3"/>
      <c r="BM69" s="3"/>
      <c r="BN69" s="3">
        <v>0</v>
      </c>
      <c r="BO69" s="3"/>
      <c r="BP69" s="14">
        <f t="shared" si="3"/>
        <v>0</v>
      </c>
      <c r="BQ69" s="3"/>
      <c r="BR69" s="14">
        <f>GovRev!AT69-BP69</f>
        <v>0</v>
      </c>
      <c r="BS69" s="3"/>
      <c r="BT69" s="3"/>
      <c r="BU69" s="3"/>
      <c r="BV69" s="3"/>
      <c r="BW69" s="3"/>
      <c r="BX69" s="14">
        <f t="shared" si="2"/>
        <v>0</v>
      </c>
      <c r="BY69" s="14"/>
      <c r="BZ69" s="14">
        <f>-BX69+GovBS!AC69</f>
        <v>0</v>
      </c>
    </row>
    <row r="70" spans="1:78" s="17" customFormat="1" hidden="1">
      <c r="A70" s="3" t="s">
        <v>334</v>
      </c>
      <c r="B70" s="3"/>
      <c r="C70" s="3" t="s">
        <v>146</v>
      </c>
      <c r="E70" s="3">
        <v>0</v>
      </c>
      <c r="F70" s="3"/>
      <c r="G70" s="3">
        <v>0</v>
      </c>
      <c r="H70" s="3"/>
      <c r="I70" s="3">
        <v>0</v>
      </c>
      <c r="J70" s="3"/>
      <c r="K70" s="3">
        <v>0</v>
      </c>
      <c r="L70" s="3"/>
      <c r="M70" s="3">
        <v>0</v>
      </c>
      <c r="N70" s="3"/>
      <c r="O70" s="3">
        <v>0</v>
      </c>
      <c r="P70" s="3"/>
      <c r="Q70" s="3">
        <v>0</v>
      </c>
      <c r="R70" s="3"/>
      <c r="S70" s="3">
        <v>0</v>
      </c>
      <c r="T70" s="3"/>
      <c r="U70" s="3">
        <v>0</v>
      </c>
      <c r="V70" s="3"/>
      <c r="W70" s="3">
        <v>0</v>
      </c>
      <c r="X70" s="3"/>
      <c r="Y70" s="3">
        <v>0</v>
      </c>
      <c r="Z70" s="3"/>
      <c r="AA70" s="3">
        <v>0</v>
      </c>
      <c r="AB70" s="3"/>
      <c r="AC70" s="3" t="s">
        <v>334</v>
      </c>
      <c r="AD70" s="3"/>
      <c r="AE70" s="3" t="s">
        <v>146</v>
      </c>
      <c r="AG70" s="3">
        <v>0</v>
      </c>
      <c r="AH70" s="3"/>
      <c r="AI70" s="3">
        <v>0</v>
      </c>
      <c r="AJ70" s="3"/>
      <c r="AK70" s="3"/>
      <c r="AL70" s="3"/>
      <c r="AM70" s="3">
        <v>0</v>
      </c>
      <c r="AN70" s="3"/>
      <c r="AO70" s="3">
        <v>0</v>
      </c>
      <c r="AP70" s="3"/>
      <c r="AQ70" s="3">
        <v>0</v>
      </c>
      <c r="AR70" s="3"/>
      <c r="AS70" s="3">
        <v>0</v>
      </c>
      <c r="AT70" s="3"/>
      <c r="AU70" s="3">
        <v>0</v>
      </c>
      <c r="AV70" s="3"/>
      <c r="AW70" s="3">
        <v>0</v>
      </c>
      <c r="AX70" s="3"/>
      <c r="AY70" s="3">
        <v>0</v>
      </c>
      <c r="AZ70" s="3"/>
      <c r="BA70" s="3"/>
      <c r="BB70" s="3"/>
      <c r="BC70" s="14">
        <f>SUM(E70:BA70)</f>
        <v>0</v>
      </c>
      <c r="BD70" s="3" t="s">
        <v>334</v>
      </c>
      <c r="BE70" s="3"/>
      <c r="BF70" s="3" t="s">
        <v>146</v>
      </c>
      <c r="BG70" s="3"/>
      <c r="BH70" s="3">
        <v>0</v>
      </c>
      <c r="BI70" s="3"/>
      <c r="BJ70" s="3"/>
      <c r="BK70" s="3"/>
      <c r="BL70" s="3"/>
      <c r="BM70" s="3"/>
      <c r="BN70" s="3">
        <v>0</v>
      </c>
      <c r="BO70" s="3"/>
      <c r="BP70" s="14">
        <f t="shared" si="3"/>
        <v>0</v>
      </c>
      <c r="BQ70" s="3"/>
      <c r="BR70" s="14">
        <f>GovRev!AT70-BP70</f>
        <v>0</v>
      </c>
      <c r="BS70" s="3"/>
      <c r="BT70" s="3"/>
      <c r="BU70" s="3"/>
      <c r="BV70" s="3"/>
      <c r="BW70" s="3"/>
      <c r="BX70" s="14">
        <f>+BT70+BR70+BV70</f>
        <v>0</v>
      </c>
      <c r="BY70" s="14"/>
      <c r="BZ70" s="14">
        <f>-BX70+GovBS!AC70</f>
        <v>0</v>
      </c>
    </row>
    <row r="71" spans="1:78" s="13" customFormat="1">
      <c r="A71" s="3" t="s">
        <v>150</v>
      </c>
      <c r="C71" s="13" t="s">
        <v>147</v>
      </c>
      <c r="E71" s="17">
        <v>1519631</v>
      </c>
      <c r="F71" s="17"/>
      <c r="G71" s="17">
        <v>2208064</v>
      </c>
      <c r="H71" s="17"/>
      <c r="I71" s="17">
        <v>33912</v>
      </c>
      <c r="J71" s="17"/>
      <c r="K71" s="50">
        <v>70592</v>
      </c>
      <c r="L71" s="17"/>
      <c r="M71" s="17">
        <v>22990</v>
      </c>
      <c r="N71" s="17"/>
      <c r="O71" s="17">
        <v>1133126</v>
      </c>
      <c r="P71" s="17"/>
      <c r="Q71" s="17">
        <v>1911069</v>
      </c>
      <c r="R71" s="17"/>
      <c r="S71" s="17">
        <v>92796</v>
      </c>
      <c r="T71" s="17"/>
      <c r="U71" s="17">
        <v>555303</v>
      </c>
      <c r="V71" s="17"/>
      <c r="W71" s="17">
        <v>503620</v>
      </c>
      <c r="X71" s="17"/>
      <c r="Y71" s="17">
        <v>2429</v>
      </c>
      <c r="Z71" s="17"/>
      <c r="AA71" s="17">
        <v>181819</v>
      </c>
      <c r="AB71" s="17"/>
      <c r="AC71" s="3" t="s">
        <v>150</v>
      </c>
      <c r="AD71" s="17"/>
      <c r="AE71" s="17" t="s">
        <v>147</v>
      </c>
      <c r="AF71" s="17"/>
      <c r="AG71" s="17">
        <v>562228</v>
      </c>
      <c r="AH71" s="17"/>
      <c r="AI71" s="17">
        <v>39909</v>
      </c>
      <c r="AJ71" s="17"/>
      <c r="AK71" s="17"/>
      <c r="AL71" s="17"/>
      <c r="AM71" s="17">
        <v>0</v>
      </c>
      <c r="AN71" s="17"/>
      <c r="AO71" s="17">
        <v>217988</v>
      </c>
      <c r="AP71" s="17"/>
      <c r="AQ71" s="17">
        <v>0</v>
      </c>
      <c r="AR71" s="17"/>
      <c r="AS71" s="17">
        <v>57899</v>
      </c>
      <c r="AT71" s="17"/>
      <c r="AU71" s="17">
        <v>0</v>
      </c>
      <c r="AV71" s="17"/>
      <c r="AW71" s="17">
        <v>0</v>
      </c>
      <c r="AX71" s="17"/>
      <c r="AY71" s="17">
        <v>0</v>
      </c>
      <c r="AZ71" s="17"/>
      <c r="BA71" s="17">
        <v>0</v>
      </c>
      <c r="BB71" s="17"/>
      <c r="BC71" s="60">
        <f>SUM(E71:BA71)</f>
        <v>9113375</v>
      </c>
      <c r="BD71" s="3" t="s">
        <v>150</v>
      </c>
      <c r="BE71" s="17"/>
      <c r="BF71" s="17" t="s">
        <v>147</v>
      </c>
      <c r="BG71" s="17"/>
      <c r="BH71" s="17">
        <v>0</v>
      </c>
      <c r="BI71" s="17"/>
      <c r="BJ71" s="17">
        <v>0</v>
      </c>
      <c r="BK71" s="17"/>
      <c r="BL71" s="17">
        <v>0</v>
      </c>
      <c r="BM71" s="17"/>
      <c r="BN71" s="17">
        <v>0</v>
      </c>
      <c r="BO71" s="17"/>
      <c r="BP71" s="60">
        <f t="shared" si="3"/>
        <v>9113375</v>
      </c>
      <c r="BQ71" s="17"/>
      <c r="BR71" s="60">
        <f>GovRev!AT71-BP71</f>
        <v>274139</v>
      </c>
      <c r="BS71" s="17"/>
      <c r="BT71" s="17">
        <v>556207</v>
      </c>
      <c r="BU71" s="17"/>
      <c r="BV71" s="17">
        <v>0</v>
      </c>
      <c r="BW71" s="17"/>
      <c r="BX71" s="60">
        <f t="shared" si="2"/>
        <v>830346</v>
      </c>
      <c r="BY71" s="14"/>
      <c r="BZ71" s="14">
        <f>-BX71+GovBS!AC71</f>
        <v>0</v>
      </c>
    </row>
    <row r="72" spans="1:78" s="13" customFormat="1" hidden="1">
      <c r="A72" s="3" t="s">
        <v>335</v>
      </c>
      <c r="B72" s="3"/>
      <c r="C72" s="3" t="s">
        <v>264</v>
      </c>
      <c r="E72" s="3">
        <v>0</v>
      </c>
      <c r="F72" s="3"/>
      <c r="G72" s="3">
        <v>0</v>
      </c>
      <c r="H72" s="3"/>
      <c r="I72" s="3">
        <v>0</v>
      </c>
      <c r="J72" s="3"/>
      <c r="K72" s="3">
        <v>0</v>
      </c>
      <c r="L72" s="3"/>
      <c r="M72" s="3">
        <v>0</v>
      </c>
      <c r="N72" s="3"/>
      <c r="O72" s="3">
        <v>0</v>
      </c>
      <c r="P72" s="3"/>
      <c r="Q72" s="3">
        <v>0</v>
      </c>
      <c r="R72" s="3"/>
      <c r="S72" s="3">
        <v>0</v>
      </c>
      <c r="T72" s="3"/>
      <c r="U72" s="3">
        <v>0</v>
      </c>
      <c r="V72" s="3"/>
      <c r="W72" s="3">
        <v>0</v>
      </c>
      <c r="X72" s="3"/>
      <c r="Y72" s="3">
        <v>0</v>
      </c>
      <c r="Z72" s="3"/>
      <c r="AA72" s="3">
        <v>0</v>
      </c>
      <c r="AB72" s="3"/>
      <c r="AC72" s="3" t="s">
        <v>335</v>
      </c>
      <c r="AD72" s="3"/>
      <c r="AE72" s="3" t="s">
        <v>264</v>
      </c>
      <c r="AF72" s="3"/>
      <c r="AG72" s="3">
        <v>0</v>
      </c>
      <c r="AH72" s="3"/>
      <c r="AI72" s="3">
        <v>0</v>
      </c>
      <c r="AJ72" s="3"/>
      <c r="AK72" s="3"/>
      <c r="AL72" s="3"/>
      <c r="AM72" s="3">
        <v>0</v>
      </c>
      <c r="AN72" s="3"/>
      <c r="AO72" s="3">
        <v>0</v>
      </c>
      <c r="AP72" s="3"/>
      <c r="AQ72" s="3">
        <v>0</v>
      </c>
      <c r="AR72" s="3"/>
      <c r="AS72" s="3">
        <v>0</v>
      </c>
      <c r="AT72" s="3"/>
      <c r="AU72" s="3">
        <v>0</v>
      </c>
      <c r="AV72" s="3"/>
      <c r="AW72" s="3">
        <v>0</v>
      </c>
      <c r="AX72" s="3"/>
      <c r="AY72" s="3">
        <v>0</v>
      </c>
      <c r="AZ72" s="3"/>
      <c r="BA72" s="3"/>
      <c r="BB72" s="3"/>
      <c r="BC72" s="14">
        <f>SUM(E72:BA72)</f>
        <v>0</v>
      </c>
      <c r="BD72" s="3" t="s">
        <v>335</v>
      </c>
      <c r="BE72" s="3"/>
      <c r="BF72" s="3" t="s">
        <v>264</v>
      </c>
      <c r="BG72" s="3"/>
      <c r="BH72" s="3">
        <v>0</v>
      </c>
      <c r="BI72" s="3"/>
      <c r="BJ72" s="3"/>
      <c r="BK72" s="3"/>
      <c r="BL72" s="3"/>
      <c r="BM72" s="3"/>
      <c r="BN72" s="3">
        <v>0</v>
      </c>
      <c r="BO72" s="3"/>
      <c r="BP72" s="14">
        <f t="shared" si="3"/>
        <v>0</v>
      </c>
      <c r="BQ72" s="3"/>
      <c r="BR72" s="14">
        <f>GovRev!AT72-BP72</f>
        <v>0</v>
      </c>
      <c r="BS72" s="3"/>
      <c r="BT72" s="3"/>
      <c r="BU72" s="3"/>
      <c r="BV72" s="3"/>
      <c r="BW72" s="3"/>
      <c r="BX72" s="14">
        <f t="shared" si="2"/>
        <v>0</v>
      </c>
      <c r="BY72" s="14"/>
      <c r="BZ72" s="14">
        <f>-BX72+GovBS!AC72</f>
        <v>0</v>
      </c>
    </row>
    <row r="73" spans="1:78" s="13" customFormat="1">
      <c r="A73" s="13" t="s">
        <v>291</v>
      </c>
      <c r="C73" s="13" t="s">
        <v>152</v>
      </c>
      <c r="E73" s="3">
        <v>670978</v>
      </c>
      <c r="F73" s="3"/>
      <c r="G73" s="3">
        <v>1731829</v>
      </c>
      <c r="H73" s="3"/>
      <c r="I73" s="3">
        <v>0</v>
      </c>
      <c r="J73" s="3"/>
      <c r="K73" s="23">
        <v>7155</v>
      </c>
      <c r="L73" s="3"/>
      <c r="M73" s="3">
        <v>0</v>
      </c>
      <c r="N73" s="3"/>
      <c r="O73" s="3">
        <v>1222086</v>
      </c>
      <c r="P73" s="3"/>
      <c r="Q73" s="3">
        <v>709354</v>
      </c>
      <c r="R73" s="3"/>
      <c r="S73" s="3">
        <v>29971</v>
      </c>
      <c r="T73" s="3"/>
      <c r="U73" s="3">
        <v>228593</v>
      </c>
      <c r="V73" s="3"/>
      <c r="W73" s="3">
        <v>150386</v>
      </c>
      <c r="X73" s="3"/>
      <c r="Y73" s="3">
        <v>0</v>
      </c>
      <c r="Z73" s="3"/>
      <c r="AA73" s="3">
        <v>62456</v>
      </c>
      <c r="AB73" s="3"/>
      <c r="AC73" s="13" t="s">
        <v>291</v>
      </c>
      <c r="AE73" s="13" t="s">
        <v>152</v>
      </c>
      <c r="AF73" s="3"/>
      <c r="AG73" s="3">
        <v>77</v>
      </c>
      <c r="AH73" s="3"/>
      <c r="AI73" s="3">
        <v>148902</v>
      </c>
      <c r="AJ73" s="3"/>
      <c r="AK73" s="3"/>
      <c r="AL73" s="3"/>
      <c r="AM73" s="3">
        <v>0</v>
      </c>
      <c r="AN73" s="3"/>
      <c r="AO73" s="3">
        <v>0</v>
      </c>
      <c r="AP73" s="3"/>
      <c r="AQ73" s="3">
        <v>0</v>
      </c>
      <c r="AR73" s="3"/>
      <c r="AS73" s="3">
        <v>0</v>
      </c>
      <c r="AT73" s="3"/>
      <c r="AU73" s="3">
        <v>0</v>
      </c>
      <c r="AV73" s="3"/>
      <c r="AW73" s="3">
        <v>0</v>
      </c>
      <c r="AX73" s="3"/>
      <c r="AY73" s="3">
        <v>0</v>
      </c>
      <c r="AZ73" s="3"/>
      <c r="BA73" s="3">
        <v>0</v>
      </c>
      <c r="BB73" s="3"/>
      <c r="BC73" s="14">
        <f>SUM(E73:BA73)</f>
        <v>4961787</v>
      </c>
      <c r="BD73" s="13" t="s">
        <v>291</v>
      </c>
      <c r="BF73" s="13" t="s">
        <v>152</v>
      </c>
      <c r="BG73" s="3"/>
      <c r="BH73" s="3">
        <v>0</v>
      </c>
      <c r="BI73" s="3"/>
      <c r="BJ73" s="3">
        <v>0</v>
      </c>
      <c r="BK73" s="3"/>
      <c r="BL73" s="3">
        <v>0</v>
      </c>
      <c r="BM73" s="3"/>
      <c r="BN73" s="3">
        <v>0</v>
      </c>
      <c r="BO73" s="3"/>
      <c r="BP73" s="14">
        <f t="shared" si="3"/>
        <v>4961787</v>
      </c>
      <c r="BQ73" s="3"/>
      <c r="BR73" s="14">
        <f>GovRev!AT73-BP73</f>
        <v>-170911</v>
      </c>
      <c r="BS73" s="3"/>
      <c r="BT73" s="3">
        <v>1790082</v>
      </c>
      <c r="BU73" s="3"/>
      <c r="BV73" s="3">
        <v>0</v>
      </c>
      <c r="BW73" s="3"/>
      <c r="BX73" s="14">
        <f t="shared" si="2"/>
        <v>1619171</v>
      </c>
      <c r="BY73" s="14"/>
      <c r="BZ73" s="14">
        <f>-BX73+GovBS!AC73</f>
        <v>0</v>
      </c>
    </row>
    <row r="74" spans="1:78" s="13" customFormat="1">
      <c r="A74" s="13" t="s">
        <v>292</v>
      </c>
      <c r="C74" s="13" t="s">
        <v>149</v>
      </c>
      <c r="E74" s="3">
        <v>465053</v>
      </c>
      <c r="F74" s="3"/>
      <c r="G74" s="3">
        <v>2361812</v>
      </c>
      <c r="H74" s="3"/>
      <c r="I74" s="3">
        <v>0</v>
      </c>
      <c r="J74" s="3"/>
      <c r="K74" s="23">
        <v>0</v>
      </c>
      <c r="L74" s="3"/>
      <c r="M74" s="3">
        <v>0</v>
      </c>
      <c r="N74" s="3"/>
      <c r="O74" s="3">
        <v>4113465</v>
      </c>
      <c r="P74" s="3"/>
      <c r="Q74" s="3">
        <v>2030994</v>
      </c>
      <c r="R74" s="3"/>
      <c r="S74" s="3">
        <v>22198</v>
      </c>
      <c r="T74" s="3"/>
      <c r="U74" s="3">
        <v>2724046</v>
      </c>
      <c r="V74" s="3"/>
      <c r="W74" s="3">
        <v>364492</v>
      </c>
      <c r="X74" s="3"/>
      <c r="Y74" s="3">
        <v>0</v>
      </c>
      <c r="Z74" s="3"/>
      <c r="AA74" s="3">
        <v>1004325</v>
      </c>
      <c r="AB74" s="3"/>
      <c r="AC74" s="13" t="s">
        <v>292</v>
      </c>
      <c r="AE74" s="13" t="s">
        <v>149</v>
      </c>
      <c r="AF74" s="3"/>
      <c r="AG74" s="3">
        <v>197199</v>
      </c>
      <c r="AH74" s="3"/>
      <c r="AI74" s="3">
        <v>2102363</v>
      </c>
      <c r="AJ74" s="3"/>
      <c r="AK74" s="3"/>
      <c r="AL74" s="3"/>
      <c r="AM74" s="3">
        <v>0</v>
      </c>
      <c r="AN74" s="3"/>
      <c r="AO74" s="3">
        <v>0</v>
      </c>
      <c r="AP74" s="3"/>
      <c r="AQ74" s="3">
        <v>0</v>
      </c>
      <c r="AR74" s="3"/>
      <c r="AS74" s="3">
        <v>0</v>
      </c>
      <c r="AT74" s="3"/>
      <c r="AU74" s="3">
        <v>0</v>
      </c>
      <c r="AV74" s="3"/>
      <c r="AW74" s="3">
        <v>84000</v>
      </c>
      <c r="AX74" s="3"/>
      <c r="AY74" s="3">
        <v>120628</v>
      </c>
      <c r="AZ74" s="3"/>
      <c r="BA74" s="3">
        <v>0</v>
      </c>
      <c r="BB74" s="3"/>
      <c r="BC74" s="14">
        <f t="shared" ref="BC74:BC130" si="4">SUM(E74:BA74)</f>
        <v>15590575</v>
      </c>
      <c r="BD74" s="13" t="s">
        <v>292</v>
      </c>
      <c r="BF74" s="13" t="s">
        <v>149</v>
      </c>
      <c r="BG74" s="3"/>
      <c r="BH74" s="3">
        <v>0</v>
      </c>
      <c r="BI74" s="3"/>
      <c r="BJ74" s="3">
        <v>0</v>
      </c>
      <c r="BK74" s="3"/>
      <c r="BL74" s="3">
        <v>0</v>
      </c>
      <c r="BM74" s="3"/>
      <c r="BN74" s="3">
        <v>0</v>
      </c>
      <c r="BO74" s="3"/>
      <c r="BP74" s="14">
        <f t="shared" si="3"/>
        <v>15590575</v>
      </c>
      <c r="BQ74" s="3"/>
      <c r="BR74" s="14">
        <f>GovRev!AT74-BP74</f>
        <v>665508</v>
      </c>
      <c r="BS74" s="3"/>
      <c r="BT74" s="3">
        <v>776389</v>
      </c>
      <c r="BU74" s="3"/>
      <c r="BV74" s="3">
        <v>0</v>
      </c>
      <c r="BW74" s="3"/>
      <c r="BX74" s="14">
        <f t="shared" si="2"/>
        <v>1441897</v>
      </c>
      <c r="BY74" s="14"/>
      <c r="BZ74" s="14">
        <f>-BX74+GovBS!AC74</f>
        <v>0</v>
      </c>
    </row>
    <row r="75" spans="1:78" s="13" customFormat="1">
      <c r="A75" s="13" t="s">
        <v>293</v>
      </c>
      <c r="C75" s="13" t="s">
        <v>154</v>
      </c>
      <c r="E75" s="3">
        <v>3105</v>
      </c>
      <c r="F75" s="3"/>
      <c r="G75" s="3">
        <v>1301947</v>
      </c>
      <c r="H75" s="3"/>
      <c r="I75" s="3">
        <v>0</v>
      </c>
      <c r="J75" s="3"/>
      <c r="K75" s="3">
        <v>0</v>
      </c>
      <c r="L75" s="3"/>
      <c r="M75" s="3">
        <v>62366</v>
      </c>
      <c r="N75" s="3"/>
      <c r="O75" s="3">
        <v>2440249</v>
      </c>
      <c r="P75" s="3"/>
      <c r="Q75" s="3">
        <v>1694549</v>
      </c>
      <c r="R75" s="3"/>
      <c r="S75" s="3">
        <v>17923</v>
      </c>
      <c r="T75" s="3"/>
      <c r="U75" s="3">
        <v>649746</v>
      </c>
      <c r="V75" s="3"/>
      <c r="W75" s="3">
        <v>206192</v>
      </c>
      <c r="X75" s="3"/>
      <c r="Y75" s="3">
        <v>8740</v>
      </c>
      <c r="Z75" s="3"/>
      <c r="AA75" s="3">
        <v>48417</v>
      </c>
      <c r="AB75" s="3"/>
      <c r="AC75" s="13" t="s">
        <v>293</v>
      </c>
      <c r="AE75" s="13" t="s">
        <v>154</v>
      </c>
      <c r="AF75" s="3"/>
      <c r="AG75" s="3">
        <v>0</v>
      </c>
      <c r="AH75" s="3"/>
      <c r="AI75" s="3">
        <v>38397</v>
      </c>
      <c r="AJ75" s="3"/>
      <c r="AK75" s="3"/>
      <c r="AL75" s="3"/>
      <c r="AM75" s="3">
        <v>0</v>
      </c>
      <c r="AN75" s="3"/>
      <c r="AO75" s="3">
        <v>0</v>
      </c>
      <c r="AP75" s="3"/>
      <c r="AQ75" s="3">
        <v>0</v>
      </c>
      <c r="AR75" s="3"/>
      <c r="AS75" s="3">
        <v>0</v>
      </c>
      <c r="AT75" s="3"/>
      <c r="AU75" s="3">
        <v>0</v>
      </c>
      <c r="AV75" s="3"/>
      <c r="AW75" s="3">
        <v>85599</v>
      </c>
      <c r="AX75" s="3"/>
      <c r="AY75" s="3">
        <v>0</v>
      </c>
      <c r="AZ75" s="3"/>
      <c r="BA75" s="3">
        <v>0</v>
      </c>
      <c r="BB75" s="3"/>
      <c r="BC75" s="14">
        <f t="shared" si="4"/>
        <v>6557230</v>
      </c>
      <c r="BD75" s="13" t="s">
        <v>293</v>
      </c>
      <c r="BF75" s="13" t="s">
        <v>154</v>
      </c>
      <c r="BG75" s="3"/>
      <c r="BH75" s="3">
        <v>0</v>
      </c>
      <c r="BI75" s="3"/>
      <c r="BJ75" s="3">
        <v>0</v>
      </c>
      <c r="BK75" s="3"/>
      <c r="BL75" s="3">
        <v>0</v>
      </c>
      <c r="BM75" s="3"/>
      <c r="BN75" s="3">
        <v>0</v>
      </c>
      <c r="BO75" s="3"/>
      <c r="BP75" s="14">
        <f t="shared" si="3"/>
        <v>6557230</v>
      </c>
      <c r="BQ75" s="3"/>
      <c r="BR75" s="14">
        <f>GovRev!AT75-BP75</f>
        <v>274507</v>
      </c>
      <c r="BS75" s="3"/>
      <c r="BT75" s="3">
        <v>1644187</v>
      </c>
      <c r="BU75" s="3"/>
      <c r="BV75" s="3">
        <v>0</v>
      </c>
      <c r="BW75" s="3"/>
      <c r="BX75" s="14">
        <f t="shared" si="2"/>
        <v>1918694</v>
      </c>
      <c r="BY75" s="14"/>
      <c r="BZ75" s="14">
        <f>-BX75+GovBS!AC75</f>
        <v>0</v>
      </c>
    </row>
    <row r="76" spans="1:78" s="13" customFormat="1">
      <c r="A76" s="3" t="s">
        <v>155</v>
      </c>
      <c r="C76" s="13" t="s">
        <v>156</v>
      </c>
      <c r="E76" s="3">
        <v>151948</v>
      </c>
      <c r="F76" s="3"/>
      <c r="G76" s="3">
        <v>6161187</v>
      </c>
      <c r="H76" s="3"/>
      <c r="I76" s="3">
        <v>0</v>
      </c>
      <c r="J76" s="3"/>
      <c r="K76" s="3">
        <v>51622</v>
      </c>
      <c r="L76" s="3"/>
      <c r="M76" s="3">
        <v>0</v>
      </c>
      <c r="N76" s="3"/>
      <c r="O76" s="3">
        <v>4073153</v>
      </c>
      <c r="P76" s="3"/>
      <c r="Q76" s="3">
        <v>5339371</v>
      </c>
      <c r="R76" s="3"/>
      <c r="S76" s="3">
        <v>280026</v>
      </c>
      <c r="T76" s="3"/>
      <c r="U76" s="3">
        <v>427182</v>
      </c>
      <c r="V76" s="3"/>
      <c r="W76" s="3">
        <v>251670</v>
      </c>
      <c r="X76" s="3"/>
      <c r="Y76" s="3">
        <v>0</v>
      </c>
      <c r="Z76" s="3"/>
      <c r="AA76" s="3">
        <v>0</v>
      </c>
      <c r="AB76" s="3"/>
      <c r="AC76" s="3" t="s">
        <v>155</v>
      </c>
      <c r="AE76" s="13" t="s">
        <v>156</v>
      </c>
      <c r="AF76" s="3"/>
      <c r="AG76" s="3">
        <v>0</v>
      </c>
      <c r="AH76" s="3"/>
      <c r="AI76" s="3">
        <v>30056</v>
      </c>
      <c r="AJ76" s="3"/>
      <c r="AK76" s="3"/>
      <c r="AL76" s="3"/>
      <c r="AM76" s="3">
        <v>0</v>
      </c>
      <c r="AN76" s="3"/>
      <c r="AO76" s="3">
        <v>64007</v>
      </c>
      <c r="AP76" s="3"/>
      <c r="AQ76" s="3">
        <v>0</v>
      </c>
      <c r="AR76" s="3"/>
      <c r="AS76" s="3">
        <v>0</v>
      </c>
      <c r="AT76" s="3"/>
      <c r="AU76" s="3">
        <v>0</v>
      </c>
      <c r="AV76" s="3"/>
      <c r="AW76" s="3">
        <v>0</v>
      </c>
      <c r="AX76" s="3"/>
      <c r="AY76" s="3">
        <v>0</v>
      </c>
      <c r="AZ76" s="3"/>
      <c r="BA76" s="3">
        <v>0</v>
      </c>
      <c r="BB76" s="3"/>
      <c r="BC76" s="14">
        <f t="shared" si="4"/>
        <v>16830222</v>
      </c>
      <c r="BD76" s="3" t="s">
        <v>155</v>
      </c>
      <c r="BF76" s="13" t="s">
        <v>156</v>
      </c>
      <c r="BG76" s="3"/>
      <c r="BH76" s="3">
        <v>15000</v>
      </c>
      <c r="BI76" s="3"/>
      <c r="BJ76" s="3">
        <v>0</v>
      </c>
      <c r="BK76" s="3"/>
      <c r="BL76" s="3">
        <v>0</v>
      </c>
      <c r="BM76" s="3"/>
      <c r="BN76" s="3">
        <v>0</v>
      </c>
      <c r="BO76" s="3"/>
      <c r="BP76" s="14">
        <f t="shared" si="3"/>
        <v>16845222</v>
      </c>
      <c r="BQ76" s="3"/>
      <c r="BR76" s="14">
        <f>GovRev!AT76-BP76</f>
        <v>30377</v>
      </c>
      <c r="BS76" s="3"/>
      <c r="BT76" s="3">
        <v>4587323</v>
      </c>
      <c r="BU76" s="3"/>
      <c r="BV76" s="3">
        <v>0</v>
      </c>
      <c r="BW76" s="3"/>
      <c r="BX76" s="14">
        <f t="shared" si="2"/>
        <v>4617700</v>
      </c>
      <c r="BY76" s="14"/>
      <c r="BZ76" s="14">
        <f>-BX76+GovBS!AC76</f>
        <v>0</v>
      </c>
    </row>
    <row r="77" spans="1:78" s="13" customFormat="1" hidden="1">
      <c r="A77" s="13" t="s">
        <v>281</v>
      </c>
      <c r="C77" s="13" t="s">
        <v>157</v>
      </c>
      <c r="E77" s="3">
        <v>0</v>
      </c>
      <c r="F77" s="3"/>
      <c r="G77" s="3">
        <v>0</v>
      </c>
      <c r="H77" s="3"/>
      <c r="I77" s="3">
        <v>0</v>
      </c>
      <c r="J77" s="3"/>
      <c r="K77" s="3">
        <v>0</v>
      </c>
      <c r="L77" s="3"/>
      <c r="M77" s="3">
        <v>0</v>
      </c>
      <c r="N77" s="3"/>
      <c r="O77" s="3">
        <v>0</v>
      </c>
      <c r="P77" s="3"/>
      <c r="Q77" s="3">
        <v>0</v>
      </c>
      <c r="R77" s="3"/>
      <c r="S77" s="3">
        <v>0</v>
      </c>
      <c r="T77" s="3"/>
      <c r="U77" s="3">
        <v>0</v>
      </c>
      <c r="V77" s="3"/>
      <c r="W77" s="3">
        <v>0</v>
      </c>
      <c r="X77" s="3"/>
      <c r="Y77" s="3">
        <v>0</v>
      </c>
      <c r="Z77" s="3"/>
      <c r="AA77" s="3">
        <v>0</v>
      </c>
      <c r="AB77" s="3"/>
      <c r="AC77" s="13" t="s">
        <v>281</v>
      </c>
      <c r="AE77" s="13" t="s">
        <v>157</v>
      </c>
      <c r="AF77" s="3"/>
      <c r="AG77" s="3">
        <v>0</v>
      </c>
      <c r="AH77" s="3"/>
      <c r="AI77" s="3">
        <v>0</v>
      </c>
      <c r="AJ77" s="3"/>
      <c r="AK77" s="3"/>
      <c r="AL77" s="3"/>
      <c r="AM77" s="3">
        <v>0</v>
      </c>
      <c r="AN77" s="3"/>
      <c r="AO77" s="3">
        <v>0</v>
      </c>
      <c r="AP77" s="3"/>
      <c r="AQ77" s="3">
        <v>0</v>
      </c>
      <c r="AR77" s="3"/>
      <c r="AS77" s="3">
        <v>0</v>
      </c>
      <c r="AT77" s="3"/>
      <c r="AU77" s="3">
        <v>0</v>
      </c>
      <c r="AV77" s="3"/>
      <c r="AW77" s="3">
        <v>0</v>
      </c>
      <c r="AX77" s="3"/>
      <c r="AY77" s="3">
        <v>0</v>
      </c>
      <c r="AZ77" s="3"/>
      <c r="BA77" s="3"/>
      <c r="BB77" s="3"/>
      <c r="BC77" s="14">
        <f t="shared" si="4"/>
        <v>0</v>
      </c>
      <c r="BD77" s="13" t="s">
        <v>281</v>
      </c>
      <c r="BF77" s="13" t="s">
        <v>157</v>
      </c>
      <c r="BG77" s="3"/>
      <c r="BH77" s="3">
        <v>0</v>
      </c>
      <c r="BI77" s="3"/>
      <c r="BJ77" s="3"/>
      <c r="BK77" s="3"/>
      <c r="BL77" s="3"/>
      <c r="BM77" s="3"/>
      <c r="BN77" s="3">
        <v>0</v>
      </c>
      <c r="BO77" s="3"/>
      <c r="BP77" s="14">
        <f t="shared" si="3"/>
        <v>0</v>
      </c>
      <c r="BQ77" s="3"/>
      <c r="BR77" s="14">
        <f>GovRev!AT77-BP77</f>
        <v>0</v>
      </c>
      <c r="BS77" s="3"/>
      <c r="BT77" s="3"/>
      <c r="BU77" s="3"/>
      <c r="BV77" s="3"/>
      <c r="BW77" s="3"/>
      <c r="BX77" s="14">
        <f t="shared" si="2"/>
        <v>0</v>
      </c>
      <c r="BY77" s="14"/>
      <c r="BZ77" s="14">
        <f>-BX77+GovBS!AC77</f>
        <v>0</v>
      </c>
    </row>
    <row r="78" spans="1:78" s="13" customFormat="1">
      <c r="A78" s="13" t="s">
        <v>310</v>
      </c>
      <c r="C78" s="13" t="s">
        <v>158</v>
      </c>
      <c r="E78" s="3">
        <v>1053395</v>
      </c>
      <c r="F78" s="3"/>
      <c r="G78" s="3">
        <v>1986019</v>
      </c>
      <c r="H78" s="3"/>
      <c r="I78" s="3">
        <v>0</v>
      </c>
      <c r="J78" s="3"/>
      <c r="K78" s="3">
        <v>0</v>
      </c>
      <c r="L78" s="3"/>
      <c r="M78" s="3">
        <v>0</v>
      </c>
      <c r="N78" s="3"/>
      <c r="O78" s="3">
        <v>2325101</v>
      </c>
      <c r="P78" s="3"/>
      <c r="Q78" s="3">
        <v>3400633</v>
      </c>
      <c r="R78" s="3"/>
      <c r="S78" s="3">
        <v>36161</v>
      </c>
      <c r="T78" s="3"/>
      <c r="U78" s="3">
        <v>550238</v>
      </c>
      <c r="V78" s="3"/>
      <c r="W78" s="3">
        <v>264876</v>
      </c>
      <c r="X78" s="3"/>
      <c r="Y78" s="3">
        <v>0</v>
      </c>
      <c r="Z78" s="3"/>
      <c r="AA78" s="3">
        <v>120091</v>
      </c>
      <c r="AB78" s="3"/>
      <c r="AC78" s="13" t="s">
        <v>310</v>
      </c>
      <c r="AE78" s="13" t="s">
        <v>158</v>
      </c>
      <c r="AF78" s="3"/>
      <c r="AG78" s="3">
        <v>543357</v>
      </c>
      <c r="AH78" s="3"/>
      <c r="AI78" s="3">
        <v>353721</v>
      </c>
      <c r="AJ78" s="3"/>
      <c r="AK78" s="3"/>
      <c r="AL78" s="3"/>
      <c r="AM78" s="3">
        <v>0</v>
      </c>
      <c r="AN78" s="3"/>
      <c r="AO78" s="3">
        <v>53474</v>
      </c>
      <c r="AP78" s="3"/>
      <c r="AQ78" s="3">
        <v>0</v>
      </c>
      <c r="AR78" s="3"/>
      <c r="AS78" s="3">
        <v>0</v>
      </c>
      <c r="AT78" s="3"/>
      <c r="AU78" s="3">
        <v>0</v>
      </c>
      <c r="AV78" s="3"/>
      <c r="AW78" s="3">
        <v>52180</v>
      </c>
      <c r="AX78" s="3"/>
      <c r="AY78" s="3">
        <v>26936</v>
      </c>
      <c r="AZ78" s="3"/>
      <c r="BA78" s="3">
        <v>0</v>
      </c>
      <c r="BB78" s="3"/>
      <c r="BC78" s="14">
        <f t="shared" si="4"/>
        <v>10766182</v>
      </c>
      <c r="BD78" s="13" t="s">
        <v>310</v>
      </c>
      <c r="BF78" s="13" t="s">
        <v>158</v>
      </c>
      <c r="BG78" s="3"/>
      <c r="BH78" s="3">
        <v>0</v>
      </c>
      <c r="BI78" s="3"/>
      <c r="BJ78" s="3">
        <v>0</v>
      </c>
      <c r="BK78" s="3"/>
      <c r="BL78" s="3">
        <v>0</v>
      </c>
      <c r="BM78" s="3"/>
      <c r="BN78" s="3">
        <v>0</v>
      </c>
      <c r="BO78" s="3"/>
      <c r="BP78" s="14">
        <f t="shared" si="3"/>
        <v>10766182</v>
      </c>
      <c r="BQ78" s="3"/>
      <c r="BR78" s="14">
        <f>GovRev!AT78-BP78</f>
        <v>-165861</v>
      </c>
      <c r="BS78" s="3"/>
      <c r="BT78" s="3">
        <v>611098</v>
      </c>
      <c r="BU78" s="3"/>
      <c r="BV78" s="3">
        <v>0</v>
      </c>
      <c r="BW78" s="3"/>
      <c r="BX78" s="14">
        <f t="shared" si="2"/>
        <v>445237</v>
      </c>
      <c r="BY78" s="14"/>
      <c r="BZ78" s="14">
        <f>-BX78+GovBS!AC78</f>
        <v>0</v>
      </c>
    </row>
    <row r="79" spans="1:78" s="13" customFormat="1">
      <c r="A79" s="3" t="s">
        <v>312</v>
      </c>
      <c r="C79" s="13" t="s">
        <v>159</v>
      </c>
      <c r="E79" s="3">
        <v>873844</v>
      </c>
      <c r="F79" s="3"/>
      <c r="G79" s="3">
        <v>27543864</v>
      </c>
      <c r="H79" s="3"/>
      <c r="I79" s="3">
        <v>560466</v>
      </c>
      <c r="J79" s="3"/>
      <c r="K79" s="3">
        <v>0</v>
      </c>
      <c r="L79" s="3"/>
      <c r="M79" s="3">
        <v>0</v>
      </c>
      <c r="N79" s="3"/>
      <c r="O79" s="3">
        <v>6342758</v>
      </c>
      <c r="P79" s="3"/>
      <c r="Q79" s="3">
        <v>11784009</v>
      </c>
      <c r="R79" s="3"/>
      <c r="S79" s="3">
        <v>86016</v>
      </c>
      <c r="T79" s="3"/>
      <c r="U79" s="3">
        <v>12379797</v>
      </c>
      <c r="V79" s="3"/>
      <c r="W79" s="3">
        <v>1012904</v>
      </c>
      <c r="X79" s="3"/>
      <c r="Y79" s="3">
        <v>21375</v>
      </c>
      <c r="Z79" s="3"/>
      <c r="AA79" s="3">
        <v>1066186</v>
      </c>
      <c r="AB79" s="3"/>
      <c r="AC79" s="3" t="s">
        <v>312</v>
      </c>
      <c r="AE79" s="13" t="s">
        <v>159</v>
      </c>
      <c r="AF79" s="3"/>
      <c r="AG79" s="3">
        <v>2753</v>
      </c>
      <c r="AH79" s="3"/>
      <c r="AI79" s="3">
        <v>84263</v>
      </c>
      <c r="AJ79" s="3"/>
      <c r="AK79" s="3"/>
      <c r="AL79" s="3"/>
      <c r="AM79" s="3">
        <v>0</v>
      </c>
      <c r="AN79" s="3"/>
      <c r="AO79" s="3">
        <v>6092906</v>
      </c>
      <c r="AP79" s="3"/>
      <c r="AQ79" s="3">
        <v>62195</v>
      </c>
      <c r="AR79" s="3"/>
      <c r="AS79" s="3">
        <v>0</v>
      </c>
      <c r="AT79" s="3"/>
      <c r="AU79" s="3">
        <v>0</v>
      </c>
      <c r="AV79" s="3"/>
      <c r="AW79" s="3">
        <v>1679789</v>
      </c>
      <c r="AX79" s="3"/>
      <c r="AY79" s="3">
        <v>400725</v>
      </c>
      <c r="AZ79" s="3"/>
      <c r="BA79" s="3">
        <v>0</v>
      </c>
      <c r="BB79" s="3"/>
      <c r="BC79" s="14">
        <f t="shared" si="4"/>
        <v>69993850</v>
      </c>
      <c r="BD79" s="3" t="s">
        <v>312</v>
      </c>
      <c r="BF79" s="13" t="s">
        <v>159</v>
      </c>
      <c r="BG79" s="3"/>
      <c r="BH79" s="3">
        <v>0</v>
      </c>
      <c r="BI79" s="3"/>
      <c r="BJ79" s="3">
        <v>0</v>
      </c>
      <c r="BK79" s="3"/>
      <c r="BL79" s="3">
        <v>0</v>
      </c>
      <c r="BM79" s="3"/>
      <c r="BN79" s="3">
        <v>0</v>
      </c>
      <c r="BO79" s="3"/>
      <c r="BP79" s="14">
        <f t="shared" si="3"/>
        <v>69993850</v>
      </c>
      <c r="BQ79" s="3"/>
      <c r="BR79" s="14">
        <f>GovRev!AT79-BP79</f>
        <v>-3148102</v>
      </c>
      <c r="BS79" s="3"/>
      <c r="BT79" s="3">
        <v>21963495</v>
      </c>
      <c r="BU79" s="3"/>
      <c r="BV79" s="3">
        <v>0</v>
      </c>
      <c r="BW79" s="3"/>
      <c r="BX79" s="14">
        <f t="shared" si="2"/>
        <v>18815393</v>
      </c>
      <c r="BY79" s="14"/>
      <c r="BZ79" s="14">
        <f>-BX79+GovBS!AC79</f>
        <v>0</v>
      </c>
    </row>
    <row r="80" spans="1:78" s="13" customFormat="1" hidden="1">
      <c r="A80" s="3" t="s">
        <v>315</v>
      </c>
      <c r="C80" s="13" t="s">
        <v>160</v>
      </c>
      <c r="E80" s="3">
        <v>0</v>
      </c>
      <c r="F80" s="3"/>
      <c r="G80" s="3">
        <v>0</v>
      </c>
      <c r="H80" s="3"/>
      <c r="I80" s="3">
        <v>0</v>
      </c>
      <c r="J80" s="3"/>
      <c r="K80" s="3">
        <v>0</v>
      </c>
      <c r="L80" s="3"/>
      <c r="M80" s="3">
        <v>0</v>
      </c>
      <c r="N80" s="3"/>
      <c r="O80" s="3">
        <v>0</v>
      </c>
      <c r="P80" s="3"/>
      <c r="Q80" s="3">
        <v>0</v>
      </c>
      <c r="R80" s="3"/>
      <c r="S80" s="3">
        <v>0</v>
      </c>
      <c r="T80" s="3"/>
      <c r="U80" s="3">
        <v>0</v>
      </c>
      <c r="V80" s="3"/>
      <c r="W80" s="3">
        <v>0</v>
      </c>
      <c r="X80" s="3"/>
      <c r="Y80" s="3">
        <v>0</v>
      </c>
      <c r="Z80" s="3"/>
      <c r="AA80" s="3">
        <v>0</v>
      </c>
      <c r="AB80" s="3"/>
      <c r="AC80" s="3" t="s">
        <v>315</v>
      </c>
      <c r="AE80" s="13" t="s">
        <v>160</v>
      </c>
      <c r="AF80" s="3"/>
      <c r="AG80" s="3">
        <v>0</v>
      </c>
      <c r="AH80" s="3"/>
      <c r="AI80" s="3">
        <v>0</v>
      </c>
      <c r="AJ80" s="3"/>
      <c r="AK80" s="3"/>
      <c r="AL80" s="3"/>
      <c r="AM80" s="3">
        <v>0</v>
      </c>
      <c r="AN80" s="3"/>
      <c r="AO80" s="3">
        <v>0</v>
      </c>
      <c r="AP80" s="3"/>
      <c r="AQ80" s="3">
        <v>0</v>
      </c>
      <c r="AR80" s="3"/>
      <c r="AS80" s="3">
        <v>0</v>
      </c>
      <c r="AT80" s="3"/>
      <c r="AU80" s="3">
        <v>0</v>
      </c>
      <c r="AV80" s="3"/>
      <c r="AW80" s="3">
        <v>0</v>
      </c>
      <c r="AX80" s="3"/>
      <c r="AY80" s="3">
        <v>0</v>
      </c>
      <c r="AZ80" s="3"/>
      <c r="BA80" s="3"/>
      <c r="BB80" s="3"/>
      <c r="BC80" s="14">
        <f t="shared" si="4"/>
        <v>0</v>
      </c>
      <c r="BD80" s="3" t="s">
        <v>315</v>
      </c>
      <c r="BF80" s="13" t="s">
        <v>160</v>
      </c>
      <c r="BG80" s="3"/>
      <c r="BH80" s="3">
        <v>0</v>
      </c>
      <c r="BI80" s="3"/>
      <c r="BJ80" s="3"/>
      <c r="BK80" s="3"/>
      <c r="BL80" s="3"/>
      <c r="BM80" s="3"/>
      <c r="BN80" s="3">
        <v>0</v>
      </c>
      <c r="BO80" s="3"/>
      <c r="BP80" s="14">
        <f t="shared" si="3"/>
        <v>0</v>
      </c>
      <c r="BQ80" s="3"/>
      <c r="BR80" s="14">
        <f>GovRev!AT80-BP80</f>
        <v>0</v>
      </c>
      <c r="BS80" s="3"/>
      <c r="BT80" s="3"/>
      <c r="BU80" s="3"/>
      <c r="BV80" s="3"/>
      <c r="BW80" s="3"/>
      <c r="BX80" s="14">
        <f t="shared" si="2"/>
        <v>0</v>
      </c>
      <c r="BY80" s="14"/>
      <c r="BZ80" s="14">
        <f>-BX80+GovBS!AC80</f>
        <v>0</v>
      </c>
    </row>
    <row r="81" spans="1:78" s="13" customFormat="1" hidden="1">
      <c r="A81" s="3" t="s">
        <v>311</v>
      </c>
      <c r="C81" s="13" t="s">
        <v>161</v>
      </c>
      <c r="E81" s="3">
        <v>0</v>
      </c>
      <c r="F81" s="3"/>
      <c r="G81" s="3">
        <v>0</v>
      </c>
      <c r="H81" s="3"/>
      <c r="I81" s="3">
        <v>0</v>
      </c>
      <c r="J81" s="3"/>
      <c r="K81" s="3">
        <v>0</v>
      </c>
      <c r="L81" s="3"/>
      <c r="M81" s="3">
        <v>0</v>
      </c>
      <c r="N81" s="3"/>
      <c r="O81" s="3">
        <v>0</v>
      </c>
      <c r="P81" s="3"/>
      <c r="Q81" s="3">
        <v>0</v>
      </c>
      <c r="R81" s="3"/>
      <c r="S81" s="3">
        <v>0</v>
      </c>
      <c r="T81" s="3"/>
      <c r="U81" s="3">
        <v>0</v>
      </c>
      <c r="V81" s="3"/>
      <c r="W81" s="3">
        <v>0</v>
      </c>
      <c r="X81" s="3"/>
      <c r="Y81" s="3">
        <v>0</v>
      </c>
      <c r="Z81" s="3"/>
      <c r="AA81" s="3">
        <v>0</v>
      </c>
      <c r="AB81" s="3"/>
      <c r="AC81" s="3" t="s">
        <v>311</v>
      </c>
      <c r="AE81" s="13" t="s">
        <v>161</v>
      </c>
      <c r="AF81" s="3"/>
      <c r="AG81" s="3">
        <v>0</v>
      </c>
      <c r="AH81" s="3"/>
      <c r="AI81" s="3">
        <v>0</v>
      </c>
      <c r="AJ81" s="3"/>
      <c r="AK81" s="3"/>
      <c r="AL81" s="3"/>
      <c r="AM81" s="3">
        <v>0</v>
      </c>
      <c r="AN81" s="3"/>
      <c r="AO81" s="3">
        <v>0</v>
      </c>
      <c r="AP81" s="3"/>
      <c r="AQ81" s="3">
        <v>0</v>
      </c>
      <c r="AR81" s="3"/>
      <c r="AS81" s="3">
        <v>0</v>
      </c>
      <c r="AT81" s="3"/>
      <c r="AU81" s="3">
        <v>0</v>
      </c>
      <c r="AV81" s="3"/>
      <c r="AW81" s="3">
        <v>0</v>
      </c>
      <c r="AX81" s="3"/>
      <c r="AY81" s="3">
        <v>0</v>
      </c>
      <c r="AZ81" s="3"/>
      <c r="BA81" s="3"/>
      <c r="BB81" s="3"/>
      <c r="BC81" s="14">
        <f t="shared" si="4"/>
        <v>0</v>
      </c>
      <c r="BD81" s="3" t="s">
        <v>311</v>
      </c>
      <c r="BF81" s="13" t="s">
        <v>161</v>
      </c>
      <c r="BG81" s="3"/>
      <c r="BH81" s="3">
        <v>0</v>
      </c>
      <c r="BI81" s="3"/>
      <c r="BJ81" s="3"/>
      <c r="BK81" s="3"/>
      <c r="BL81" s="3"/>
      <c r="BM81" s="3"/>
      <c r="BN81" s="3">
        <v>0</v>
      </c>
      <c r="BO81" s="3"/>
      <c r="BP81" s="14">
        <f t="shared" si="3"/>
        <v>0</v>
      </c>
      <c r="BQ81" s="3"/>
      <c r="BR81" s="14">
        <f>GovRev!AT81-BP81</f>
        <v>0</v>
      </c>
      <c r="BS81" s="3"/>
      <c r="BT81" s="3"/>
      <c r="BU81" s="3"/>
      <c r="BV81" s="3"/>
      <c r="BW81" s="3"/>
      <c r="BX81" s="14">
        <f t="shared" si="2"/>
        <v>0</v>
      </c>
      <c r="BY81" s="14"/>
      <c r="BZ81" s="14">
        <f>-BX81+GovBS!AC81</f>
        <v>0</v>
      </c>
    </row>
    <row r="82" spans="1:78" s="13" customFormat="1">
      <c r="A82" s="3" t="s">
        <v>309</v>
      </c>
      <c r="C82" s="13" t="s">
        <v>200</v>
      </c>
      <c r="E82" s="3">
        <v>791426</v>
      </c>
      <c r="F82" s="3"/>
      <c r="G82" s="3">
        <v>1379912</v>
      </c>
      <c r="H82" s="3"/>
      <c r="I82" s="3">
        <v>12617</v>
      </c>
      <c r="J82" s="3"/>
      <c r="K82" s="3">
        <v>0</v>
      </c>
      <c r="L82" s="3"/>
      <c r="M82" s="3">
        <v>554759</v>
      </c>
      <c r="N82" s="3"/>
      <c r="O82" s="3">
        <v>2408120</v>
      </c>
      <c r="P82" s="3"/>
      <c r="Q82" s="3">
        <v>2984723</v>
      </c>
      <c r="R82" s="3"/>
      <c r="S82" s="3">
        <v>26694</v>
      </c>
      <c r="T82" s="3"/>
      <c r="U82" s="3">
        <v>370608</v>
      </c>
      <c r="V82" s="3"/>
      <c r="W82" s="3">
        <v>261545</v>
      </c>
      <c r="X82" s="3"/>
      <c r="Y82" s="3">
        <v>115981</v>
      </c>
      <c r="Z82" s="3"/>
      <c r="AA82" s="3">
        <v>175779</v>
      </c>
      <c r="AB82" s="3"/>
      <c r="AC82" s="3" t="s">
        <v>309</v>
      </c>
      <c r="AE82" s="13" t="s">
        <v>200</v>
      </c>
      <c r="AF82" s="3"/>
      <c r="AG82" s="3">
        <v>13879</v>
      </c>
      <c r="AH82" s="3"/>
      <c r="AI82" s="3">
        <v>375217</v>
      </c>
      <c r="AJ82" s="3"/>
      <c r="AK82" s="3"/>
      <c r="AL82" s="3"/>
      <c r="AM82" s="3">
        <v>0</v>
      </c>
      <c r="AN82" s="3"/>
      <c r="AO82" s="3">
        <v>0</v>
      </c>
      <c r="AP82" s="3"/>
      <c r="AQ82" s="3">
        <v>0</v>
      </c>
      <c r="AR82" s="3"/>
      <c r="AS82" s="3">
        <v>0</v>
      </c>
      <c r="AT82" s="3"/>
      <c r="AU82" s="3">
        <v>0</v>
      </c>
      <c r="AV82" s="3"/>
      <c r="AW82" s="3">
        <v>87023</v>
      </c>
      <c r="AX82" s="3"/>
      <c r="AY82" s="3">
        <v>24352</v>
      </c>
      <c r="AZ82" s="3"/>
      <c r="BA82" s="3">
        <v>0</v>
      </c>
      <c r="BB82" s="3"/>
      <c r="BC82" s="14">
        <f t="shared" si="4"/>
        <v>9582635</v>
      </c>
      <c r="BD82" s="3" t="s">
        <v>309</v>
      </c>
      <c r="BF82" s="13" t="s">
        <v>200</v>
      </c>
      <c r="BG82" s="3"/>
      <c r="BH82" s="3">
        <v>0</v>
      </c>
      <c r="BI82" s="3"/>
      <c r="BJ82" s="3">
        <v>0</v>
      </c>
      <c r="BK82" s="3"/>
      <c r="BL82" s="3">
        <v>0</v>
      </c>
      <c r="BM82" s="3"/>
      <c r="BN82" s="3">
        <v>0</v>
      </c>
      <c r="BO82" s="3"/>
      <c r="BP82" s="14">
        <f t="shared" ref="BP82" si="5">+BC82+BH82+BJ82+BN82+BL82</f>
        <v>9582635</v>
      </c>
      <c r="BQ82" s="3"/>
      <c r="BR82" s="14">
        <f>GovRev!AT82-BP82</f>
        <v>1168</v>
      </c>
      <c r="BS82" s="3"/>
      <c r="BT82" s="3">
        <v>1055268</v>
      </c>
      <c r="BU82" s="3"/>
      <c r="BV82" s="3">
        <v>0</v>
      </c>
      <c r="BW82" s="3"/>
      <c r="BX82" s="14">
        <f t="shared" ref="BX82" si="6">+BT82+BR82+BV82</f>
        <v>1056436</v>
      </c>
      <c r="BY82" s="14"/>
      <c r="BZ82" s="14">
        <f>-BX82+GovBS!AC82</f>
        <v>0</v>
      </c>
    </row>
    <row r="83" spans="1:78" s="13" customFormat="1">
      <c r="A83" s="3" t="s">
        <v>318</v>
      </c>
      <c r="C83" s="13" t="s">
        <v>164</v>
      </c>
      <c r="E83" s="3">
        <v>791331</v>
      </c>
      <c r="F83" s="3"/>
      <c r="G83" s="3">
        <v>10362602</v>
      </c>
      <c r="H83" s="3"/>
      <c r="I83" s="3">
        <v>0</v>
      </c>
      <c r="J83" s="3"/>
      <c r="K83" s="3">
        <v>0</v>
      </c>
      <c r="L83" s="3"/>
      <c r="M83" s="3">
        <v>56262</v>
      </c>
      <c r="N83" s="3"/>
      <c r="O83" s="3">
        <v>8393866</v>
      </c>
      <c r="P83" s="3"/>
      <c r="Q83" s="3">
        <v>11669062</v>
      </c>
      <c r="R83" s="3"/>
      <c r="S83" s="3">
        <v>70637</v>
      </c>
      <c r="T83" s="3"/>
      <c r="U83" s="3">
        <v>9410507</v>
      </c>
      <c r="V83" s="3"/>
      <c r="W83" s="3">
        <v>1985195</v>
      </c>
      <c r="X83" s="3"/>
      <c r="Y83" s="3">
        <v>526941</v>
      </c>
      <c r="Z83" s="3"/>
      <c r="AA83" s="3">
        <v>1314921</v>
      </c>
      <c r="AB83" s="3"/>
      <c r="AC83" s="3" t="s">
        <v>318</v>
      </c>
      <c r="AE83" s="13" t="s">
        <v>164</v>
      </c>
      <c r="AF83" s="3"/>
      <c r="AG83" s="3">
        <v>180984</v>
      </c>
      <c r="AH83" s="3"/>
      <c r="AI83" s="3">
        <v>20741313</v>
      </c>
      <c r="AJ83" s="3"/>
      <c r="AK83" s="3"/>
      <c r="AL83" s="3"/>
      <c r="AM83" s="3">
        <v>0</v>
      </c>
      <c r="AN83" s="3"/>
      <c r="AO83" s="3">
        <v>69125</v>
      </c>
      <c r="AP83" s="3"/>
      <c r="AQ83" s="3">
        <v>99761</v>
      </c>
      <c r="AR83" s="3"/>
      <c r="AS83" s="3">
        <v>113059</v>
      </c>
      <c r="AT83" s="3"/>
      <c r="AU83" s="3">
        <v>0</v>
      </c>
      <c r="AV83" s="3"/>
      <c r="AW83" s="3">
        <v>301302</v>
      </c>
      <c r="AX83" s="3"/>
      <c r="AY83" s="3">
        <v>126325</v>
      </c>
      <c r="AZ83" s="3"/>
      <c r="BA83" s="3">
        <v>0</v>
      </c>
      <c r="BB83" s="3"/>
      <c r="BC83" s="14">
        <f>SUM(E83:BA83)</f>
        <v>66213193</v>
      </c>
      <c r="BD83" s="3" t="s">
        <v>318</v>
      </c>
      <c r="BF83" s="13" t="s">
        <v>164</v>
      </c>
      <c r="BG83" s="3"/>
      <c r="BH83" s="3">
        <v>138449</v>
      </c>
      <c r="BI83" s="3"/>
      <c r="BJ83" s="3">
        <v>0</v>
      </c>
      <c r="BK83" s="3"/>
      <c r="BL83" s="3">
        <v>0</v>
      </c>
      <c r="BM83" s="3"/>
      <c r="BN83" s="3">
        <v>0</v>
      </c>
      <c r="BO83" s="3"/>
      <c r="BP83" s="14">
        <f>+BC83+BH83+BJ83+BN83+BL83</f>
        <v>66351642</v>
      </c>
      <c r="BQ83" s="3"/>
      <c r="BR83" s="14">
        <f>GovRev!AT83-BP83</f>
        <v>159823</v>
      </c>
      <c r="BS83" s="3"/>
      <c r="BT83" s="3">
        <v>12297198</v>
      </c>
      <c r="BU83" s="3"/>
      <c r="BV83" s="3">
        <v>0</v>
      </c>
      <c r="BW83" s="3"/>
      <c r="BX83" s="14">
        <f>+BT83+BR83+BV83</f>
        <v>12457021</v>
      </c>
      <c r="BY83" s="14"/>
      <c r="BZ83" s="14">
        <f>-BX83+GovBS!AC83</f>
        <v>0</v>
      </c>
    </row>
    <row r="84" spans="1:78" s="13" customFormat="1" hidden="1">
      <c r="A84" s="13" t="s">
        <v>279</v>
      </c>
      <c r="C84" s="13" t="s">
        <v>162</v>
      </c>
      <c r="E84" s="3">
        <v>0</v>
      </c>
      <c r="F84" s="3"/>
      <c r="G84" s="3">
        <v>0</v>
      </c>
      <c r="H84" s="3"/>
      <c r="I84" s="3">
        <v>0</v>
      </c>
      <c r="J84" s="3"/>
      <c r="K84" s="3">
        <v>0</v>
      </c>
      <c r="L84" s="3"/>
      <c r="M84" s="3">
        <v>0</v>
      </c>
      <c r="N84" s="3"/>
      <c r="O84" s="3">
        <v>0</v>
      </c>
      <c r="P84" s="3"/>
      <c r="Q84" s="3">
        <v>0</v>
      </c>
      <c r="R84" s="3"/>
      <c r="S84" s="3">
        <v>0</v>
      </c>
      <c r="T84" s="3"/>
      <c r="U84" s="3">
        <v>0</v>
      </c>
      <c r="V84" s="3"/>
      <c r="W84" s="3">
        <v>0</v>
      </c>
      <c r="X84" s="3"/>
      <c r="Y84" s="3">
        <v>0</v>
      </c>
      <c r="Z84" s="3"/>
      <c r="AA84" s="3">
        <v>0</v>
      </c>
      <c r="AB84" s="3"/>
      <c r="AC84" s="13" t="s">
        <v>279</v>
      </c>
      <c r="AE84" s="13" t="s">
        <v>162</v>
      </c>
      <c r="AF84" s="3"/>
      <c r="AG84" s="3">
        <v>0</v>
      </c>
      <c r="AH84" s="3"/>
      <c r="AI84" s="3">
        <v>0</v>
      </c>
      <c r="AJ84" s="3"/>
      <c r="AK84" s="3"/>
      <c r="AL84" s="3"/>
      <c r="AM84" s="3">
        <v>0</v>
      </c>
      <c r="AN84" s="3"/>
      <c r="AO84" s="3">
        <v>0</v>
      </c>
      <c r="AP84" s="3"/>
      <c r="AQ84" s="3">
        <v>0</v>
      </c>
      <c r="AR84" s="3"/>
      <c r="AS84" s="3">
        <v>0</v>
      </c>
      <c r="AT84" s="3"/>
      <c r="AU84" s="3">
        <v>0</v>
      </c>
      <c r="AV84" s="3"/>
      <c r="AW84" s="3">
        <v>0</v>
      </c>
      <c r="AX84" s="3"/>
      <c r="AY84" s="3">
        <v>0</v>
      </c>
      <c r="AZ84" s="3"/>
      <c r="BA84" s="3"/>
      <c r="BB84" s="3"/>
      <c r="BC84" s="14">
        <f t="shared" si="4"/>
        <v>0</v>
      </c>
      <c r="BD84" s="13" t="s">
        <v>279</v>
      </c>
      <c r="BF84" s="13" t="s">
        <v>162</v>
      </c>
      <c r="BG84" s="3"/>
      <c r="BH84" s="3">
        <v>0</v>
      </c>
      <c r="BI84" s="3"/>
      <c r="BJ84" s="3"/>
      <c r="BK84" s="3"/>
      <c r="BL84" s="3"/>
      <c r="BM84" s="3"/>
      <c r="BN84" s="3">
        <v>0</v>
      </c>
      <c r="BO84" s="3"/>
      <c r="BP84" s="14">
        <f t="shared" si="3"/>
        <v>0</v>
      </c>
      <c r="BQ84" s="3"/>
      <c r="BR84" s="14">
        <f>GovRev!AT84-BP84</f>
        <v>0</v>
      </c>
      <c r="BS84" s="3"/>
      <c r="BT84" s="3"/>
      <c r="BU84" s="3"/>
      <c r="BV84" s="3"/>
      <c r="BW84" s="3"/>
      <c r="BX84" s="14">
        <f t="shared" ref="BX84:BX130" si="7">+BT84+BR84+BV84</f>
        <v>0</v>
      </c>
      <c r="BY84" s="14"/>
      <c r="BZ84" s="14">
        <f>-BX84+GovBS!AC84</f>
        <v>0</v>
      </c>
    </row>
    <row r="85" spans="1:78" s="13" customFormat="1">
      <c r="A85" s="3" t="s">
        <v>320</v>
      </c>
      <c r="C85" s="13" t="s">
        <v>163</v>
      </c>
      <c r="E85" s="3">
        <v>321427</v>
      </c>
      <c r="F85" s="3"/>
      <c r="G85" s="3">
        <v>1480335</v>
      </c>
      <c r="H85" s="3"/>
      <c r="I85" s="3">
        <v>0</v>
      </c>
      <c r="J85" s="3"/>
      <c r="K85" s="3">
        <v>0</v>
      </c>
      <c r="L85" s="3"/>
      <c r="M85" s="3">
        <v>732</v>
      </c>
      <c r="N85" s="3"/>
      <c r="O85" s="3">
        <v>2070080</v>
      </c>
      <c r="P85" s="3"/>
      <c r="Q85" s="3">
        <v>2820317</v>
      </c>
      <c r="R85" s="3"/>
      <c r="S85" s="3">
        <v>14979</v>
      </c>
      <c r="T85" s="3"/>
      <c r="U85" s="3">
        <v>1332906</v>
      </c>
      <c r="V85" s="3"/>
      <c r="W85" s="3">
        <v>193913</v>
      </c>
      <c r="X85" s="3"/>
      <c r="Y85" s="3">
        <v>0</v>
      </c>
      <c r="Z85" s="3"/>
      <c r="AA85" s="3">
        <v>56490</v>
      </c>
      <c r="AB85" s="3"/>
      <c r="AC85" s="3" t="s">
        <v>320</v>
      </c>
      <c r="AE85" s="13" t="s">
        <v>163</v>
      </c>
      <c r="AF85" s="3"/>
      <c r="AG85" s="3">
        <v>0</v>
      </c>
      <c r="AH85" s="3"/>
      <c r="AI85" s="3">
        <v>77375</v>
      </c>
      <c r="AJ85" s="3"/>
      <c r="AK85" s="3"/>
      <c r="AL85" s="3"/>
      <c r="AM85" s="3">
        <v>0</v>
      </c>
      <c r="AN85" s="3"/>
      <c r="AO85" s="3">
        <v>0</v>
      </c>
      <c r="AP85" s="3"/>
      <c r="AQ85" s="3">
        <v>0</v>
      </c>
      <c r="AR85" s="3"/>
      <c r="AS85" s="3">
        <v>0</v>
      </c>
      <c r="AT85" s="3"/>
      <c r="AU85" s="3">
        <v>0</v>
      </c>
      <c r="AV85" s="3"/>
      <c r="AW85" s="3">
        <v>6665</v>
      </c>
      <c r="AX85" s="3"/>
      <c r="AY85" s="3">
        <v>1450</v>
      </c>
      <c r="AZ85" s="3"/>
      <c r="BA85" s="3">
        <v>0</v>
      </c>
      <c r="BB85" s="3"/>
      <c r="BC85" s="14">
        <f t="shared" si="4"/>
        <v>8376669</v>
      </c>
      <c r="BD85" s="3" t="s">
        <v>320</v>
      </c>
      <c r="BF85" s="13" t="s">
        <v>163</v>
      </c>
      <c r="BG85" s="3"/>
      <c r="BH85" s="3">
        <v>400000</v>
      </c>
      <c r="BI85" s="3"/>
      <c r="BJ85" s="3">
        <v>0</v>
      </c>
      <c r="BK85" s="3"/>
      <c r="BL85" s="3">
        <v>0</v>
      </c>
      <c r="BM85" s="3"/>
      <c r="BN85" s="3">
        <v>0</v>
      </c>
      <c r="BO85" s="3"/>
      <c r="BP85" s="14">
        <f t="shared" si="3"/>
        <v>8776669</v>
      </c>
      <c r="BQ85" s="3"/>
      <c r="BR85" s="14">
        <f>GovRev!AT85-BP85</f>
        <v>301943</v>
      </c>
      <c r="BS85" s="3"/>
      <c r="BT85" s="3">
        <v>1153791</v>
      </c>
      <c r="BU85" s="3"/>
      <c r="BV85" s="3">
        <v>0</v>
      </c>
      <c r="BW85" s="3"/>
      <c r="BX85" s="14">
        <f t="shared" si="7"/>
        <v>1455734</v>
      </c>
      <c r="BY85" s="14"/>
      <c r="BZ85" s="14">
        <f>-BX85+GovBS!AC85</f>
        <v>0</v>
      </c>
    </row>
    <row r="86" spans="1:78" s="13" customFormat="1">
      <c r="A86" s="3" t="s">
        <v>166</v>
      </c>
      <c r="C86" s="13" t="s">
        <v>167</v>
      </c>
      <c r="E86" s="3">
        <v>1478809</v>
      </c>
      <c r="F86" s="3"/>
      <c r="G86" s="3">
        <v>0</v>
      </c>
      <c r="H86" s="3"/>
      <c r="I86" s="3">
        <v>0</v>
      </c>
      <c r="J86" s="3"/>
      <c r="K86" s="3">
        <v>0</v>
      </c>
      <c r="L86" s="3"/>
      <c r="M86" s="3">
        <v>0</v>
      </c>
      <c r="N86" s="3"/>
      <c r="O86" s="3">
        <v>443550</v>
      </c>
      <c r="P86" s="3"/>
      <c r="Q86" s="3">
        <v>1115608</v>
      </c>
      <c r="R86" s="3"/>
      <c r="S86" s="3">
        <v>35621</v>
      </c>
      <c r="T86" s="3"/>
      <c r="U86" s="3">
        <v>953940</v>
      </c>
      <c r="V86" s="3"/>
      <c r="W86" s="3">
        <v>104233</v>
      </c>
      <c r="X86" s="3"/>
      <c r="Y86" s="3">
        <v>0</v>
      </c>
      <c r="Z86" s="3"/>
      <c r="AA86" s="3">
        <v>24558</v>
      </c>
      <c r="AB86" s="3"/>
      <c r="AC86" s="3" t="s">
        <v>166</v>
      </c>
      <c r="AE86" s="13" t="s">
        <v>167</v>
      </c>
      <c r="AF86" s="3"/>
      <c r="AG86" s="3">
        <v>185167</v>
      </c>
      <c r="AH86" s="3"/>
      <c r="AI86" s="3">
        <v>54281</v>
      </c>
      <c r="AJ86" s="3"/>
      <c r="AK86" s="3"/>
      <c r="AL86" s="3"/>
      <c r="AM86" s="3">
        <v>0</v>
      </c>
      <c r="AN86" s="3"/>
      <c r="AO86" s="3">
        <v>28818</v>
      </c>
      <c r="AP86" s="3"/>
      <c r="AQ86" s="3">
        <v>0</v>
      </c>
      <c r="AR86" s="3"/>
      <c r="AS86" s="3">
        <v>0</v>
      </c>
      <c r="AT86" s="3"/>
      <c r="AU86" s="3">
        <v>0</v>
      </c>
      <c r="AV86" s="3"/>
      <c r="AW86" s="3">
        <v>0</v>
      </c>
      <c r="AX86" s="3"/>
      <c r="AY86" s="3">
        <v>0</v>
      </c>
      <c r="AZ86" s="3"/>
      <c r="BA86" s="3">
        <v>0</v>
      </c>
      <c r="BB86" s="3"/>
      <c r="BC86" s="14">
        <f t="shared" si="4"/>
        <v>4424585</v>
      </c>
      <c r="BD86" s="3" t="s">
        <v>166</v>
      </c>
      <c r="BF86" s="13" t="s">
        <v>167</v>
      </c>
      <c r="BG86" s="3"/>
      <c r="BH86" s="3">
        <v>0</v>
      </c>
      <c r="BI86" s="3"/>
      <c r="BJ86" s="3">
        <v>0</v>
      </c>
      <c r="BK86" s="3"/>
      <c r="BL86" s="3">
        <v>0</v>
      </c>
      <c r="BM86" s="3"/>
      <c r="BN86" s="3">
        <v>0</v>
      </c>
      <c r="BO86" s="3"/>
      <c r="BP86" s="14">
        <f t="shared" si="3"/>
        <v>4424585</v>
      </c>
      <c r="BQ86" s="3"/>
      <c r="BR86" s="14">
        <f>GovRev!AT86-BP86</f>
        <v>-230412</v>
      </c>
      <c r="BS86" s="3"/>
      <c r="BT86" s="3">
        <v>1304691</v>
      </c>
      <c r="BU86" s="3"/>
      <c r="BV86" s="3">
        <v>0</v>
      </c>
      <c r="BW86" s="3"/>
      <c r="BX86" s="14">
        <f t="shared" si="7"/>
        <v>1074279</v>
      </c>
      <c r="BY86" s="14"/>
      <c r="BZ86" s="14">
        <f>-BX86+GovBS!AC86</f>
        <v>0</v>
      </c>
    </row>
    <row r="87" spans="1:78" s="13" customFormat="1">
      <c r="A87" s="61" t="s">
        <v>319</v>
      </c>
      <c r="C87" s="13" t="s">
        <v>168</v>
      </c>
      <c r="E87" s="3">
        <v>142553</v>
      </c>
      <c r="F87" s="3"/>
      <c r="G87" s="3">
        <v>3482086</v>
      </c>
      <c r="H87" s="3"/>
      <c r="I87" s="3">
        <v>307339</v>
      </c>
      <c r="J87" s="3"/>
      <c r="K87" s="3">
        <v>16718</v>
      </c>
      <c r="L87" s="3"/>
      <c r="M87" s="3">
        <v>0</v>
      </c>
      <c r="N87" s="3"/>
      <c r="O87" s="3">
        <v>3738162</v>
      </c>
      <c r="P87" s="3"/>
      <c r="Q87" s="3">
        <v>2012325</v>
      </c>
      <c r="R87" s="3"/>
      <c r="S87" s="3">
        <v>36650</v>
      </c>
      <c r="T87" s="3"/>
      <c r="U87" s="3">
        <v>1247476</v>
      </c>
      <c r="V87" s="3"/>
      <c r="W87" s="3">
        <v>249092</v>
      </c>
      <c r="X87" s="3"/>
      <c r="Y87" s="3">
        <v>22307</v>
      </c>
      <c r="Z87" s="3"/>
      <c r="AA87" s="3">
        <v>92558</v>
      </c>
      <c r="AB87" s="3"/>
      <c r="AC87" s="61" t="s">
        <v>319</v>
      </c>
      <c r="AE87" s="13" t="s">
        <v>168</v>
      </c>
      <c r="AF87" s="3"/>
      <c r="AG87" s="3">
        <v>1752</v>
      </c>
      <c r="AH87" s="3"/>
      <c r="AI87" s="3">
        <v>138096</v>
      </c>
      <c r="AJ87" s="3"/>
      <c r="AK87" s="3"/>
      <c r="AL87" s="3"/>
      <c r="AM87" s="3">
        <v>0</v>
      </c>
      <c r="AN87" s="3"/>
      <c r="AO87" s="3">
        <v>0</v>
      </c>
      <c r="AP87" s="3"/>
      <c r="AQ87" s="3">
        <v>0</v>
      </c>
      <c r="AR87" s="3"/>
      <c r="AS87" s="3">
        <v>0</v>
      </c>
      <c r="AT87" s="3"/>
      <c r="AU87" s="3">
        <v>0</v>
      </c>
      <c r="AV87" s="3"/>
      <c r="AW87" s="3">
        <v>0</v>
      </c>
      <c r="AX87" s="3"/>
      <c r="AY87" s="3">
        <v>0</v>
      </c>
      <c r="AZ87" s="3"/>
      <c r="BA87" s="3">
        <v>0</v>
      </c>
      <c r="BB87" s="3"/>
      <c r="BC87" s="14">
        <f t="shared" si="4"/>
        <v>11487114</v>
      </c>
      <c r="BD87" s="61" t="s">
        <v>319</v>
      </c>
      <c r="BF87" s="13" t="s">
        <v>168</v>
      </c>
      <c r="BG87" s="3"/>
      <c r="BH87" s="3">
        <v>0</v>
      </c>
      <c r="BI87" s="3"/>
      <c r="BJ87" s="3">
        <v>0</v>
      </c>
      <c r="BK87" s="3"/>
      <c r="BL87" s="3">
        <v>0</v>
      </c>
      <c r="BM87" s="3"/>
      <c r="BN87" s="3">
        <v>0</v>
      </c>
      <c r="BO87" s="3"/>
      <c r="BP87" s="14">
        <f t="shared" si="3"/>
        <v>11487114</v>
      </c>
      <c r="BQ87" s="3"/>
      <c r="BR87" s="14">
        <f>GovRev!AT87-BP87</f>
        <v>184913</v>
      </c>
      <c r="BS87" s="3"/>
      <c r="BT87" s="3">
        <v>1083928</v>
      </c>
      <c r="BU87" s="3"/>
      <c r="BV87" s="3">
        <v>0</v>
      </c>
      <c r="BW87" s="3"/>
      <c r="BX87" s="14">
        <f t="shared" si="7"/>
        <v>1268841</v>
      </c>
      <c r="BY87" s="14"/>
      <c r="BZ87" s="14">
        <f>-BX87+GovBS!AC87</f>
        <v>0</v>
      </c>
    </row>
    <row r="88" spans="1:78" s="13" customFormat="1">
      <c r="A88" s="13" t="s">
        <v>296</v>
      </c>
      <c r="C88" s="13" t="s">
        <v>169</v>
      </c>
      <c r="E88" s="3">
        <v>602138</v>
      </c>
      <c r="F88" s="3"/>
      <c r="G88" s="3">
        <v>2753570</v>
      </c>
      <c r="H88" s="3"/>
      <c r="I88" s="3">
        <v>0</v>
      </c>
      <c r="J88" s="3"/>
      <c r="K88" s="3">
        <v>0</v>
      </c>
      <c r="L88" s="3"/>
      <c r="M88" s="3">
        <v>0</v>
      </c>
      <c r="N88" s="3"/>
      <c r="O88" s="3">
        <v>5805538</v>
      </c>
      <c r="P88" s="3"/>
      <c r="Q88" s="3">
        <v>1874954</v>
      </c>
      <c r="R88" s="3"/>
      <c r="S88" s="3">
        <v>29692</v>
      </c>
      <c r="T88" s="3"/>
      <c r="U88" s="3">
        <v>292947</v>
      </c>
      <c r="V88" s="3"/>
      <c r="W88" s="3">
        <v>258332</v>
      </c>
      <c r="X88" s="3"/>
      <c r="Y88" s="3">
        <v>10347</v>
      </c>
      <c r="Z88" s="3"/>
      <c r="AA88" s="3">
        <v>190350</v>
      </c>
      <c r="AB88" s="3"/>
      <c r="AC88" s="13" t="s">
        <v>296</v>
      </c>
      <c r="AE88" s="13" t="s">
        <v>169</v>
      </c>
      <c r="AF88" s="3"/>
      <c r="AG88" s="3">
        <v>0</v>
      </c>
      <c r="AH88" s="3"/>
      <c r="AI88" s="3">
        <v>3083</v>
      </c>
      <c r="AJ88" s="3"/>
      <c r="AK88" s="3"/>
      <c r="AL88" s="3"/>
      <c r="AM88" s="3">
        <v>0</v>
      </c>
      <c r="AN88" s="3"/>
      <c r="AO88" s="3">
        <v>2850</v>
      </c>
      <c r="AP88" s="3"/>
      <c r="AQ88" s="3">
        <v>0</v>
      </c>
      <c r="AR88" s="3"/>
      <c r="AS88" s="3">
        <v>0</v>
      </c>
      <c r="AT88" s="3"/>
      <c r="AU88" s="3">
        <v>227283</v>
      </c>
      <c r="AV88" s="3"/>
      <c r="AW88" s="3">
        <v>67055</v>
      </c>
      <c r="AX88" s="3"/>
      <c r="AY88" s="3">
        <v>1987</v>
      </c>
      <c r="AZ88" s="3"/>
      <c r="BA88" s="3">
        <v>0</v>
      </c>
      <c r="BB88" s="3"/>
      <c r="BC88" s="14">
        <f t="shared" si="4"/>
        <v>12120126</v>
      </c>
      <c r="BD88" s="13" t="s">
        <v>296</v>
      </c>
      <c r="BF88" s="13" t="s">
        <v>169</v>
      </c>
      <c r="BG88" s="3"/>
      <c r="BH88" s="3">
        <v>0</v>
      </c>
      <c r="BI88" s="3"/>
      <c r="BJ88" s="3">
        <v>0</v>
      </c>
      <c r="BK88" s="3"/>
      <c r="BL88" s="3">
        <v>0</v>
      </c>
      <c r="BM88" s="3"/>
      <c r="BN88" s="3">
        <v>0</v>
      </c>
      <c r="BO88" s="3"/>
      <c r="BP88" s="14">
        <f t="shared" si="3"/>
        <v>12120126</v>
      </c>
      <c r="BQ88" s="3"/>
      <c r="BR88" s="14">
        <f>GovRev!AT88-BP88</f>
        <v>-361718</v>
      </c>
      <c r="BS88" s="3"/>
      <c r="BT88" s="3">
        <v>1826550</v>
      </c>
      <c r="BU88" s="3"/>
      <c r="BV88" s="3">
        <v>0</v>
      </c>
      <c r="BW88" s="3"/>
      <c r="BX88" s="14">
        <f t="shared" si="7"/>
        <v>1464832</v>
      </c>
      <c r="BY88" s="14"/>
      <c r="BZ88" s="14">
        <f>-BX88+GovBS!AC88</f>
        <v>0</v>
      </c>
    </row>
    <row r="89" spans="1:78" s="13" customFormat="1">
      <c r="A89" s="13" t="s">
        <v>297</v>
      </c>
      <c r="C89" s="13" t="s">
        <v>170</v>
      </c>
      <c r="E89" s="3">
        <v>0</v>
      </c>
      <c r="F89" s="3"/>
      <c r="G89" s="3">
        <v>7834005</v>
      </c>
      <c r="H89" s="3"/>
      <c r="I89" s="3">
        <v>49157</v>
      </c>
      <c r="J89" s="3"/>
      <c r="K89" s="3">
        <v>0</v>
      </c>
      <c r="L89" s="3"/>
      <c r="M89" s="3">
        <v>0</v>
      </c>
      <c r="N89" s="3"/>
      <c r="O89" s="3">
        <v>7710208</v>
      </c>
      <c r="P89" s="3"/>
      <c r="Q89" s="3">
        <v>7708148</v>
      </c>
      <c r="R89" s="3"/>
      <c r="S89" s="3">
        <v>29794</v>
      </c>
      <c r="T89" s="3"/>
      <c r="U89" s="3">
        <v>3184709</v>
      </c>
      <c r="V89" s="3"/>
      <c r="W89" s="3">
        <v>945040</v>
      </c>
      <c r="X89" s="3"/>
      <c r="Y89" s="3">
        <v>436034</v>
      </c>
      <c r="Z89" s="3"/>
      <c r="AA89" s="3">
        <v>419678</v>
      </c>
      <c r="AB89" s="3"/>
      <c r="AC89" s="13" t="s">
        <v>297</v>
      </c>
      <c r="AE89" s="13" t="s">
        <v>170</v>
      </c>
      <c r="AF89" s="3"/>
      <c r="AG89" s="3">
        <v>0</v>
      </c>
      <c r="AH89" s="3"/>
      <c r="AI89" s="3">
        <v>853823</v>
      </c>
      <c r="AJ89" s="3"/>
      <c r="AK89" s="3"/>
      <c r="AL89" s="3"/>
      <c r="AM89" s="3">
        <v>0</v>
      </c>
      <c r="AN89" s="3"/>
      <c r="AO89" s="3">
        <v>10631752</v>
      </c>
      <c r="AP89" s="3"/>
      <c r="AQ89" s="3">
        <v>0</v>
      </c>
      <c r="AR89" s="3"/>
      <c r="AS89" s="3">
        <v>4316</v>
      </c>
      <c r="AT89" s="3"/>
      <c r="AU89" s="3">
        <v>0</v>
      </c>
      <c r="AV89" s="3"/>
      <c r="AW89" s="3">
        <v>45000</v>
      </c>
      <c r="AX89" s="3"/>
      <c r="AY89" s="3">
        <v>102323</v>
      </c>
      <c r="AZ89" s="3"/>
      <c r="BA89" s="3">
        <v>0</v>
      </c>
      <c r="BB89" s="3"/>
      <c r="BC89" s="14">
        <f t="shared" si="4"/>
        <v>39953987</v>
      </c>
      <c r="BD89" s="13" t="s">
        <v>297</v>
      </c>
      <c r="BF89" s="13" t="s">
        <v>170</v>
      </c>
      <c r="BG89" s="3"/>
      <c r="BH89" s="3">
        <v>0</v>
      </c>
      <c r="BI89" s="3"/>
      <c r="BJ89" s="3">
        <v>0</v>
      </c>
      <c r="BK89" s="3"/>
      <c r="BL89" s="3">
        <v>0</v>
      </c>
      <c r="BM89" s="3"/>
      <c r="BN89" s="3">
        <v>0</v>
      </c>
      <c r="BO89" s="3"/>
      <c r="BP89" s="14">
        <f t="shared" si="3"/>
        <v>39953987</v>
      </c>
      <c r="BQ89" s="3"/>
      <c r="BR89" s="14">
        <f>GovRev!AT89-BP89</f>
        <v>776686</v>
      </c>
      <c r="BS89" s="3"/>
      <c r="BT89" s="3">
        <v>8817243</v>
      </c>
      <c r="BU89" s="3"/>
      <c r="BV89" s="3">
        <v>0</v>
      </c>
      <c r="BW89" s="3"/>
      <c r="BX89" s="14">
        <f t="shared" si="7"/>
        <v>9593929</v>
      </c>
      <c r="BY89" s="14"/>
      <c r="BZ89" s="14">
        <f>-BX89+GovBS!AC89</f>
        <v>0</v>
      </c>
    </row>
    <row r="90" spans="1:78" s="13" customFormat="1">
      <c r="A90" s="13" t="s">
        <v>298</v>
      </c>
      <c r="C90" s="13" t="s">
        <v>171</v>
      </c>
      <c r="E90" s="3">
        <v>109172</v>
      </c>
      <c r="F90" s="3"/>
      <c r="G90" s="3">
        <v>1462982</v>
      </c>
      <c r="H90" s="3"/>
      <c r="I90" s="3">
        <v>0</v>
      </c>
      <c r="J90" s="3"/>
      <c r="K90" s="3">
        <v>0</v>
      </c>
      <c r="L90" s="3"/>
      <c r="M90" s="3">
        <v>0</v>
      </c>
      <c r="N90" s="3"/>
      <c r="O90" s="3">
        <v>1273174</v>
      </c>
      <c r="P90" s="3"/>
      <c r="Q90" s="3">
        <v>1795301</v>
      </c>
      <c r="R90" s="3"/>
      <c r="S90" s="3">
        <v>46669</v>
      </c>
      <c r="T90" s="3"/>
      <c r="U90" s="3">
        <v>560491</v>
      </c>
      <c r="V90" s="3"/>
      <c r="W90" s="3">
        <v>225029</v>
      </c>
      <c r="X90" s="3"/>
      <c r="Y90" s="3">
        <v>0</v>
      </c>
      <c r="Z90" s="3"/>
      <c r="AA90" s="3">
        <v>80398</v>
      </c>
      <c r="AB90" s="3"/>
      <c r="AC90" s="13" t="s">
        <v>298</v>
      </c>
      <c r="AE90" s="13" t="s">
        <v>171</v>
      </c>
      <c r="AF90" s="3"/>
      <c r="AG90" s="3">
        <v>90139</v>
      </c>
      <c r="AH90" s="3"/>
      <c r="AI90" s="3">
        <v>4740</v>
      </c>
      <c r="AJ90" s="3"/>
      <c r="AK90" s="3"/>
      <c r="AL90" s="3"/>
      <c r="AM90" s="3">
        <v>0</v>
      </c>
      <c r="AN90" s="3"/>
      <c r="AO90" s="3">
        <v>4908</v>
      </c>
      <c r="AP90" s="3"/>
      <c r="AQ90" s="3">
        <v>1129</v>
      </c>
      <c r="AR90" s="3"/>
      <c r="AS90" s="3">
        <v>0</v>
      </c>
      <c r="AT90" s="3"/>
      <c r="AU90" s="3">
        <v>0</v>
      </c>
      <c r="AV90" s="3"/>
      <c r="AW90" s="3">
        <v>0</v>
      </c>
      <c r="AX90" s="3"/>
      <c r="AY90" s="3">
        <v>0</v>
      </c>
      <c r="AZ90" s="3"/>
      <c r="BA90" s="3">
        <v>0</v>
      </c>
      <c r="BB90" s="3"/>
      <c r="BC90" s="14">
        <f t="shared" si="4"/>
        <v>5654132</v>
      </c>
      <c r="BD90" s="13" t="s">
        <v>298</v>
      </c>
      <c r="BF90" s="13" t="s">
        <v>171</v>
      </c>
      <c r="BG90" s="3"/>
      <c r="BH90" s="3">
        <v>0</v>
      </c>
      <c r="BI90" s="3"/>
      <c r="BJ90" s="3">
        <v>0</v>
      </c>
      <c r="BK90" s="3"/>
      <c r="BL90" s="3">
        <v>0</v>
      </c>
      <c r="BM90" s="3"/>
      <c r="BN90" s="3">
        <v>0</v>
      </c>
      <c r="BO90" s="3"/>
      <c r="BP90" s="14">
        <f t="shared" si="3"/>
        <v>5654132</v>
      </c>
      <c r="BQ90" s="3"/>
      <c r="BR90" s="14">
        <f>GovRev!AT90-BP90</f>
        <v>48311</v>
      </c>
      <c r="BS90" s="3"/>
      <c r="BT90" s="3">
        <v>353618</v>
      </c>
      <c r="BU90" s="3"/>
      <c r="BV90" s="3">
        <v>0</v>
      </c>
      <c r="BW90" s="3"/>
      <c r="BX90" s="14">
        <f t="shared" si="7"/>
        <v>401929</v>
      </c>
      <c r="BY90" s="14"/>
      <c r="BZ90" s="14">
        <f>-BX90+GovBS!AC90</f>
        <v>0</v>
      </c>
    </row>
    <row r="91" spans="1:78" s="13" customFormat="1" hidden="1">
      <c r="A91" s="13" t="s">
        <v>357</v>
      </c>
      <c r="C91" s="13" t="s">
        <v>21</v>
      </c>
      <c r="E91" s="3">
        <v>0</v>
      </c>
      <c r="F91" s="3"/>
      <c r="G91" s="3">
        <v>0</v>
      </c>
      <c r="H91" s="3"/>
      <c r="I91" s="3">
        <v>0</v>
      </c>
      <c r="J91" s="3"/>
      <c r="K91" s="3">
        <v>0</v>
      </c>
      <c r="L91" s="3"/>
      <c r="M91" s="3">
        <v>0</v>
      </c>
      <c r="N91" s="3"/>
      <c r="O91" s="3">
        <v>0</v>
      </c>
      <c r="P91" s="3"/>
      <c r="Q91" s="3">
        <v>0</v>
      </c>
      <c r="R91" s="3"/>
      <c r="S91" s="3">
        <v>0</v>
      </c>
      <c r="T91" s="3"/>
      <c r="U91" s="3">
        <v>0</v>
      </c>
      <c r="V91" s="3"/>
      <c r="W91" s="3">
        <v>0</v>
      </c>
      <c r="X91" s="3"/>
      <c r="Y91" s="3">
        <v>0</v>
      </c>
      <c r="Z91" s="3"/>
      <c r="AA91" s="3">
        <v>0</v>
      </c>
      <c r="AB91" s="3"/>
      <c r="AC91" s="13" t="s">
        <v>357</v>
      </c>
      <c r="AE91" s="13" t="s">
        <v>21</v>
      </c>
      <c r="AF91" s="3"/>
      <c r="AG91" s="3">
        <v>0</v>
      </c>
      <c r="AH91" s="3"/>
      <c r="AI91" s="3">
        <v>0</v>
      </c>
      <c r="AJ91" s="3"/>
      <c r="AK91" s="3"/>
      <c r="AL91" s="3"/>
      <c r="AM91" s="3">
        <v>0</v>
      </c>
      <c r="AN91" s="3"/>
      <c r="AO91" s="3">
        <v>0</v>
      </c>
      <c r="AP91" s="3"/>
      <c r="AQ91" s="3">
        <v>0</v>
      </c>
      <c r="AR91" s="3"/>
      <c r="AS91" s="3">
        <v>0</v>
      </c>
      <c r="AT91" s="3"/>
      <c r="AU91" s="3">
        <v>0</v>
      </c>
      <c r="AV91" s="3"/>
      <c r="AW91" s="3">
        <v>0</v>
      </c>
      <c r="AX91" s="3"/>
      <c r="AY91" s="3">
        <v>0</v>
      </c>
      <c r="AZ91" s="3"/>
      <c r="BA91" s="3">
        <v>0</v>
      </c>
      <c r="BB91" s="3"/>
      <c r="BC91" s="14">
        <f t="shared" si="4"/>
        <v>0</v>
      </c>
      <c r="BD91" s="13" t="s">
        <v>357</v>
      </c>
      <c r="BF91" s="13" t="s">
        <v>21</v>
      </c>
      <c r="BG91" s="3"/>
      <c r="BH91" s="3">
        <v>0</v>
      </c>
      <c r="BI91" s="3"/>
      <c r="BJ91" s="3">
        <v>0</v>
      </c>
      <c r="BK91" s="3"/>
      <c r="BL91" s="3">
        <v>0</v>
      </c>
      <c r="BM91" s="3"/>
      <c r="BN91" s="3">
        <v>0</v>
      </c>
      <c r="BO91" s="3"/>
      <c r="BP91" s="14">
        <f t="shared" si="3"/>
        <v>0</v>
      </c>
      <c r="BQ91" s="3"/>
      <c r="BR91" s="14">
        <f>GovRev!AT91-BP91</f>
        <v>0</v>
      </c>
      <c r="BS91" s="3"/>
      <c r="BT91" s="3"/>
      <c r="BU91" s="3"/>
      <c r="BV91" s="3">
        <v>0</v>
      </c>
      <c r="BW91" s="3"/>
      <c r="BX91" s="14">
        <f t="shared" si="7"/>
        <v>0</v>
      </c>
      <c r="BY91" s="14"/>
      <c r="BZ91" s="14">
        <f>-BX91+GovBS!AC91</f>
        <v>0</v>
      </c>
    </row>
    <row r="92" spans="1:78" s="13" customFormat="1">
      <c r="A92" s="13" t="s">
        <v>299</v>
      </c>
      <c r="C92" s="13" t="s">
        <v>172</v>
      </c>
      <c r="E92" s="3">
        <v>862560</v>
      </c>
      <c r="F92" s="3"/>
      <c r="G92" s="3">
        <v>660168</v>
      </c>
      <c r="H92" s="3"/>
      <c r="I92" s="3">
        <v>0</v>
      </c>
      <c r="J92" s="3"/>
      <c r="K92" s="3">
        <v>0</v>
      </c>
      <c r="L92" s="3"/>
      <c r="M92" s="3">
        <v>6400</v>
      </c>
      <c r="N92" s="3"/>
      <c r="O92" s="3">
        <v>1337177</v>
      </c>
      <c r="P92" s="3"/>
      <c r="Q92" s="3">
        <v>1877953</v>
      </c>
      <c r="R92" s="3"/>
      <c r="S92" s="3">
        <v>17129</v>
      </c>
      <c r="T92" s="3"/>
      <c r="U92" s="3">
        <v>839723</v>
      </c>
      <c r="V92" s="3"/>
      <c r="W92" s="3">
        <v>295311</v>
      </c>
      <c r="X92" s="3"/>
      <c r="Y92" s="3">
        <v>0</v>
      </c>
      <c r="Z92" s="3"/>
      <c r="AA92" s="3">
        <v>26434</v>
      </c>
      <c r="AB92" s="3"/>
      <c r="AC92" s="13" t="s">
        <v>299</v>
      </c>
      <c r="AE92" s="13" t="s">
        <v>172</v>
      </c>
      <c r="AF92" s="3"/>
      <c r="AG92" s="3">
        <v>0</v>
      </c>
      <c r="AH92" s="3"/>
      <c r="AI92" s="3">
        <v>8374</v>
      </c>
      <c r="AJ92" s="3"/>
      <c r="AK92" s="3"/>
      <c r="AL92" s="3"/>
      <c r="AM92" s="3">
        <v>0</v>
      </c>
      <c r="AN92" s="3"/>
      <c r="AO92" s="3">
        <v>0</v>
      </c>
      <c r="AP92" s="3"/>
      <c r="AQ92" s="3">
        <v>0</v>
      </c>
      <c r="AR92" s="3"/>
      <c r="AS92" s="3">
        <v>0</v>
      </c>
      <c r="AT92" s="3"/>
      <c r="AU92" s="3">
        <v>0</v>
      </c>
      <c r="AV92" s="3"/>
      <c r="AW92" s="3">
        <v>3591</v>
      </c>
      <c r="AX92" s="3"/>
      <c r="AY92" s="3">
        <v>640</v>
      </c>
      <c r="AZ92" s="3"/>
      <c r="BA92" s="3">
        <v>0</v>
      </c>
      <c r="BB92" s="3"/>
      <c r="BC92" s="14">
        <f t="shared" si="4"/>
        <v>5935460</v>
      </c>
      <c r="BD92" s="13" t="s">
        <v>299</v>
      </c>
      <c r="BF92" s="13" t="s">
        <v>172</v>
      </c>
      <c r="BG92" s="3"/>
      <c r="BH92" s="3">
        <v>0</v>
      </c>
      <c r="BI92" s="3"/>
      <c r="BJ92" s="3">
        <v>0</v>
      </c>
      <c r="BK92" s="3"/>
      <c r="BL92" s="3">
        <v>0</v>
      </c>
      <c r="BM92" s="3"/>
      <c r="BN92" s="3">
        <v>0</v>
      </c>
      <c r="BO92" s="3"/>
      <c r="BP92" s="14">
        <f t="shared" si="3"/>
        <v>5935460</v>
      </c>
      <c r="BQ92" s="3"/>
      <c r="BR92" s="14">
        <f>GovRev!AT92-BP92</f>
        <v>-551550</v>
      </c>
      <c r="BS92" s="3"/>
      <c r="BT92" s="3">
        <v>3024136</v>
      </c>
      <c r="BU92" s="3"/>
      <c r="BV92" s="3">
        <v>0</v>
      </c>
      <c r="BW92" s="3"/>
      <c r="BX92" s="14">
        <f t="shared" si="7"/>
        <v>2472586</v>
      </c>
      <c r="BY92" s="14"/>
      <c r="BZ92" s="14">
        <f>-BX92+GovBS!AC92</f>
        <v>0</v>
      </c>
    </row>
    <row r="93" spans="1:78" s="13" customFormat="1">
      <c r="A93" s="13" t="s">
        <v>300</v>
      </c>
      <c r="C93" s="13" t="s">
        <v>173</v>
      </c>
      <c r="E93" s="3">
        <v>46482</v>
      </c>
      <c r="F93" s="3"/>
      <c r="G93" s="3">
        <v>3608182</v>
      </c>
      <c r="H93" s="3"/>
      <c r="I93" s="3">
        <v>0</v>
      </c>
      <c r="J93" s="3"/>
      <c r="K93" s="3">
        <v>0</v>
      </c>
      <c r="L93" s="3"/>
      <c r="M93" s="3">
        <v>0</v>
      </c>
      <c r="N93" s="3"/>
      <c r="O93" s="3">
        <v>731275</v>
      </c>
      <c r="P93" s="3"/>
      <c r="Q93" s="3">
        <v>895239</v>
      </c>
      <c r="R93" s="3"/>
      <c r="S93" s="3">
        <v>23427</v>
      </c>
      <c r="T93" s="3"/>
      <c r="U93" s="3">
        <v>532334</v>
      </c>
      <c r="V93" s="3"/>
      <c r="W93" s="3">
        <v>93590</v>
      </c>
      <c r="X93" s="3"/>
      <c r="Y93" s="3">
        <v>0</v>
      </c>
      <c r="Z93" s="3"/>
      <c r="AA93" s="3">
        <v>35357</v>
      </c>
      <c r="AB93" s="3"/>
      <c r="AC93" s="13" t="s">
        <v>300</v>
      </c>
      <c r="AE93" s="13" t="s">
        <v>173</v>
      </c>
      <c r="AF93" s="3"/>
      <c r="AG93" s="3">
        <v>0</v>
      </c>
      <c r="AH93" s="3"/>
      <c r="AI93" s="3">
        <v>2335</v>
      </c>
      <c r="AJ93" s="3"/>
      <c r="AK93" s="3"/>
      <c r="AL93" s="3"/>
      <c r="AM93" s="3">
        <v>0</v>
      </c>
      <c r="AN93" s="3"/>
      <c r="AO93" s="3">
        <v>0</v>
      </c>
      <c r="AP93" s="3"/>
      <c r="AQ93" s="3">
        <v>4411</v>
      </c>
      <c r="AR93" s="3"/>
      <c r="AS93" s="3">
        <v>0</v>
      </c>
      <c r="AT93" s="3"/>
      <c r="AU93" s="3">
        <v>0</v>
      </c>
      <c r="AV93" s="3"/>
      <c r="AW93" s="3">
        <v>0</v>
      </c>
      <c r="AX93" s="3"/>
      <c r="AY93" s="3">
        <v>0</v>
      </c>
      <c r="AZ93" s="3"/>
      <c r="BA93" s="3">
        <v>0</v>
      </c>
      <c r="BB93" s="3"/>
      <c r="BC93" s="14">
        <f t="shared" si="4"/>
        <v>5972632</v>
      </c>
      <c r="BD93" s="13" t="s">
        <v>300</v>
      </c>
      <c r="BF93" s="13" t="s">
        <v>173</v>
      </c>
      <c r="BG93" s="3"/>
      <c r="BH93" s="3">
        <v>0</v>
      </c>
      <c r="BI93" s="3"/>
      <c r="BJ93" s="3">
        <v>0</v>
      </c>
      <c r="BK93" s="3"/>
      <c r="BL93" s="3">
        <v>0</v>
      </c>
      <c r="BM93" s="3"/>
      <c r="BN93" s="3">
        <v>0</v>
      </c>
      <c r="BO93" s="3"/>
      <c r="BP93" s="14">
        <f t="shared" si="3"/>
        <v>5972632</v>
      </c>
      <c r="BQ93" s="3"/>
      <c r="BR93" s="14">
        <f>GovRev!AT93-BP93</f>
        <v>-94680</v>
      </c>
      <c r="BS93" s="3"/>
      <c r="BT93" s="3">
        <v>-235467</v>
      </c>
      <c r="BU93" s="3"/>
      <c r="BV93" s="3">
        <v>0</v>
      </c>
      <c r="BW93" s="3"/>
      <c r="BX93" s="14">
        <f t="shared" si="7"/>
        <v>-330147</v>
      </c>
      <c r="BY93" s="14"/>
      <c r="BZ93" s="14">
        <f>-BX93+GovBS!AC93</f>
        <v>0</v>
      </c>
    </row>
    <row r="94" spans="1:78" s="13" customFormat="1">
      <c r="A94" s="13" t="s">
        <v>301</v>
      </c>
      <c r="C94" s="13" t="s">
        <v>148</v>
      </c>
      <c r="E94" s="3">
        <v>845349</v>
      </c>
      <c r="F94" s="3"/>
      <c r="G94" s="3">
        <v>2824572</v>
      </c>
      <c r="H94" s="3"/>
      <c r="I94" s="3">
        <v>139069</v>
      </c>
      <c r="J94" s="3"/>
      <c r="K94" s="3">
        <v>0</v>
      </c>
      <c r="L94" s="3"/>
      <c r="M94" s="3">
        <v>202927</v>
      </c>
      <c r="N94" s="3"/>
      <c r="O94" s="3">
        <v>3249965</v>
      </c>
      <c r="P94" s="3"/>
      <c r="Q94" s="3">
        <v>2018968</v>
      </c>
      <c r="R94" s="3"/>
      <c r="S94" s="3">
        <v>6870288</v>
      </c>
      <c r="T94" s="3"/>
      <c r="U94" s="3">
        <v>1860742</v>
      </c>
      <c r="V94" s="3"/>
      <c r="W94" s="3">
        <v>224631</v>
      </c>
      <c r="X94" s="3"/>
      <c r="Y94" s="3">
        <v>0</v>
      </c>
      <c r="Z94" s="3"/>
      <c r="AA94" s="3">
        <v>118697</v>
      </c>
      <c r="AB94" s="3"/>
      <c r="AC94" s="13" t="s">
        <v>301</v>
      </c>
      <c r="AE94" s="13" t="s">
        <v>148</v>
      </c>
      <c r="AF94" s="3"/>
      <c r="AG94" s="3">
        <v>169312</v>
      </c>
      <c r="AH94" s="3"/>
      <c r="AI94" s="3">
        <v>749496</v>
      </c>
      <c r="AJ94" s="3"/>
      <c r="AK94" s="3"/>
      <c r="AL94" s="3"/>
      <c r="AM94" s="3">
        <v>0</v>
      </c>
      <c r="AN94" s="3"/>
      <c r="AO94" s="3">
        <v>26887</v>
      </c>
      <c r="AP94" s="3"/>
      <c r="AQ94" s="3">
        <v>0</v>
      </c>
      <c r="AR94" s="3"/>
      <c r="AS94" s="3">
        <v>0</v>
      </c>
      <c r="AT94" s="3"/>
      <c r="AU94" s="3">
        <v>0</v>
      </c>
      <c r="AV94" s="3"/>
      <c r="AW94" s="3">
        <v>0</v>
      </c>
      <c r="AX94" s="3"/>
      <c r="AY94" s="3">
        <v>0</v>
      </c>
      <c r="AZ94" s="3"/>
      <c r="BA94" s="3">
        <v>0</v>
      </c>
      <c r="BB94" s="3"/>
      <c r="BC94" s="14">
        <f t="shared" si="4"/>
        <v>19300903</v>
      </c>
      <c r="BD94" s="13" t="s">
        <v>301</v>
      </c>
      <c r="BF94" s="13" t="s">
        <v>148</v>
      </c>
      <c r="BG94" s="3"/>
      <c r="BH94" s="3">
        <v>4401</v>
      </c>
      <c r="BI94" s="3"/>
      <c r="BJ94" s="3">
        <v>0</v>
      </c>
      <c r="BK94" s="3"/>
      <c r="BL94" s="3">
        <v>0</v>
      </c>
      <c r="BM94" s="3"/>
      <c r="BN94" s="3">
        <v>0</v>
      </c>
      <c r="BO94" s="3"/>
      <c r="BP94" s="14">
        <f t="shared" si="3"/>
        <v>19305304</v>
      </c>
      <c r="BQ94" s="3"/>
      <c r="BR94" s="14">
        <f>GovRev!AT94-BP94</f>
        <v>545070</v>
      </c>
      <c r="BS94" s="3"/>
      <c r="BT94" s="3">
        <v>1108875</v>
      </c>
      <c r="BU94" s="3"/>
      <c r="BV94" s="3">
        <v>0</v>
      </c>
      <c r="BW94" s="3"/>
      <c r="BX94" s="14">
        <f t="shared" si="7"/>
        <v>1653945</v>
      </c>
      <c r="BY94" s="14"/>
      <c r="BZ94" s="14">
        <f>-BX94+GovBS!AC94</f>
        <v>0</v>
      </c>
    </row>
    <row r="95" spans="1:78" s="13" customFormat="1">
      <c r="A95" s="13" t="s">
        <v>302</v>
      </c>
      <c r="C95" s="13" t="s">
        <v>174</v>
      </c>
      <c r="E95" s="3">
        <v>215187</v>
      </c>
      <c r="F95" s="3"/>
      <c r="G95" s="3">
        <v>289368</v>
      </c>
      <c r="H95" s="3"/>
      <c r="I95" s="3">
        <v>0</v>
      </c>
      <c r="J95" s="3"/>
      <c r="K95" s="3">
        <v>0</v>
      </c>
      <c r="L95" s="3"/>
      <c r="M95" s="3">
        <v>0</v>
      </c>
      <c r="N95" s="3"/>
      <c r="O95" s="3">
        <v>436715</v>
      </c>
      <c r="P95" s="3"/>
      <c r="Q95" s="3">
        <v>513720</v>
      </c>
      <c r="R95" s="3"/>
      <c r="S95" s="3">
        <v>60583</v>
      </c>
      <c r="T95" s="3"/>
      <c r="U95" s="3">
        <v>211173</v>
      </c>
      <c r="V95" s="3"/>
      <c r="W95" s="3">
        <v>161751</v>
      </c>
      <c r="X95" s="3"/>
      <c r="Y95" s="3">
        <v>0</v>
      </c>
      <c r="Z95" s="3"/>
      <c r="AA95" s="3">
        <v>19458</v>
      </c>
      <c r="AB95" s="3"/>
      <c r="AC95" s="13" t="s">
        <v>302</v>
      </c>
      <c r="AE95" s="13" t="s">
        <v>174</v>
      </c>
      <c r="AG95" s="3">
        <v>0</v>
      </c>
      <c r="AH95" s="3"/>
      <c r="AI95" s="3">
        <v>188139</v>
      </c>
      <c r="AJ95" s="3"/>
      <c r="AK95" s="3"/>
      <c r="AL95" s="3"/>
      <c r="AM95" s="3">
        <v>0</v>
      </c>
      <c r="AN95" s="3"/>
      <c r="AO95" s="3">
        <v>0</v>
      </c>
      <c r="AP95" s="3"/>
      <c r="AQ95" s="3">
        <v>0</v>
      </c>
      <c r="AR95" s="3"/>
      <c r="AS95" s="3">
        <v>0</v>
      </c>
      <c r="AT95" s="3"/>
      <c r="AU95" s="3">
        <v>0</v>
      </c>
      <c r="AV95" s="3"/>
      <c r="AW95" s="3">
        <v>0</v>
      </c>
      <c r="AX95" s="3"/>
      <c r="AY95" s="3">
        <v>0</v>
      </c>
      <c r="AZ95" s="3"/>
      <c r="BA95" s="3">
        <v>0</v>
      </c>
      <c r="BB95" s="3"/>
      <c r="BC95" s="14">
        <f t="shared" si="4"/>
        <v>2096094</v>
      </c>
      <c r="BD95" s="13" t="s">
        <v>302</v>
      </c>
      <c r="BF95" s="13" t="s">
        <v>174</v>
      </c>
      <c r="BG95" s="3"/>
      <c r="BH95" s="3">
        <v>0</v>
      </c>
      <c r="BI95" s="3"/>
      <c r="BJ95" s="3">
        <v>0</v>
      </c>
      <c r="BK95" s="3"/>
      <c r="BL95" s="3">
        <v>0</v>
      </c>
      <c r="BM95" s="3"/>
      <c r="BN95" s="3">
        <v>0</v>
      </c>
      <c r="BO95" s="3"/>
      <c r="BP95" s="14">
        <f t="shared" si="3"/>
        <v>2096094</v>
      </c>
      <c r="BQ95" s="3"/>
      <c r="BR95" s="14">
        <f>GovRev!AT95-BP95</f>
        <v>304382</v>
      </c>
      <c r="BS95" s="3"/>
      <c r="BT95" s="3">
        <v>648463</v>
      </c>
      <c r="BU95" s="3"/>
      <c r="BV95" s="3">
        <v>0</v>
      </c>
      <c r="BW95" s="3"/>
      <c r="BX95" s="14">
        <f t="shared" si="7"/>
        <v>952845</v>
      </c>
      <c r="BY95" s="14"/>
      <c r="BZ95" s="14">
        <f>-BX95+GovBS!AC95</f>
        <v>0</v>
      </c>
    </row>
    <row r="96" spans="1:78" s="13" customFormat="1">
      <c r="A96" s="3" t="s">
        <v>303</v>
      </c>
      <c r="B96" s="3"/>
      <c r="C96" s="3" t="s">
        <v>175</v>
      </c>
      <c r="E96" s="3">
        <v>1923</v>
      </c>
      <c r="F96" s="3"/>
      <c r="G96" s="3">
        <v>2921420</v>
      </c>
      <c r="H96" s="3"/>
      <c r="I96" s="3">
        <v>0</v>
      </c>
      <c r="J96" s="3"/>
      <c r="K96" s="3">
        <v>0</v>
      </c>
      <c r="L96" s="3"/>
      <c r="M96" s="3">
        <v>0</v>
      </c>
      <c r="N96" s="3"/>
      <c r="O96" s="3">
        <v>1663141</v>
      </c>
      <c r="P96" s="3"/>
      <c r="Q96" s="3">
        <v>4313983</v>
      </c>
      <c r="R96" s="3"/>
      <c r="S96" s="3">
        <v>11317</v>
      </c>
      <c r="T96" s="3"/>
      <c r="U96" s="3">
        <v>833866</v>
      </c>
      <c r="V96" s="3"/>
      <c r="W96" s="3">
        <v>301098</v>
      </c>
      <c r="X96" s="3"/>
      <c r="Y96" s="3">
        <v>7059</v>
      </c>
      <c r="Z96" s="3"/>
      <c r="AA96" s="3">
        <v>93754</v>
      </c>
      <c r="AB96" s="3"/>
      <c r="AC96" s="3" t="s">
        <v>303</v>
      </c>
      <c r="AD96" s="3"/>
      <c r="AE96" s="3" t="s">
        <v>175</v>
      </c>
      <c r="AG96" s="3">
        <v>0</v>
      </c>
      <c r="AH96" s="3"/>
      <c r="AI96" s="3">
        <v>363589</v>
      </c>
      <c r="AJ96" s="3"/>
      <c r="AK96" s="3"/>
      <c r="AL96" s="3"/>
      <c r="AM96" s="3">
        <v>0</v>
      </c>
      <c r="AN96" s="3"/>
      <c r="AO96" s="3">
        <v>0</v>
      </c>
      <c r="AP96" s="3"/>
      <c r="AQ96" s="3">
        <v>0</v>
      </c>
      <c r="AR96" s="3"/>
      <c r="AS96" s="3">
        <v>0</v>
      </c>
      <c r="AT96" s="3"/>
      <c r="AU96" s="3">
        <v>57926</v>
      </c>
      <c r="AV96" s="3"/>
      <c r="AW96" s="3">
        <v>14265</v>
      </c>
      <c r="AX96" s="3"/>
      <c r="AY96" s="3">
        <v>2884</v>
      </c>
      <c r="AZ96" s="3"/>
      <c r="BA96" s="3">
        <v>0</v>
      </c>
      <c r="BB96" s="3"/>
      <c r="BC96" s="14">
        <f>SUM(E96:BA96)</f>
        <v>10586225</v>
      </c>
      <c r="BD96" s="3" t="s">
        <v>303</v>
      </c>
      <c r="BE96" s="3"/>
      <c r="BF96" s="3" t="s">
        <v>175</v>
      </c>
      <c r="BG96" s="3"/>
      <c r="BH96" s="3">
        <v>0</v>
      </c>
      <c r="BI96" s="3"/>
      <c r="BJ96" s="3">
        <v>0</v>
      </c>
      <c r="BK96" s="3"/>
      <c r="BL96" s="3">
        <v>0</v>
      </c>
      <c r="BM96" s="3"/>
      <c r="BN96" s="3">
        <v>0</v>
      </c>
      <c r="BO96" s="3"/>
      <c r="BP96" s="14">
        <f t="shared" si="3"/>
        <v>10586225</v>
      </c>
      <c r="BQ96" s="3"/>
      <c r="BR96" s="14">
        <f>GovRev!AT96-BP96</f>
        <v>-585696</v>
      </c>
      <c r="BS96" s="3"/>
      <c r="BT96" s="3">
        <v>161231</v>
      </c>
      <c r="BU96" s="3"/>
      <c r="BV96" s="3">
        <v>0</v>
      </c>
      <c r="BW96" s="3"/>
      <c r="BX96" s="14">
        <f t="shared" si="7"/>
        <v>-424465</v>
      </c>
      <c r="BY96" s="14"/>
      <c r="BZ96" s="14">
        <f>-BX96+GovBS!AC96</f>
        <v>0</v>
      </c>
    </row>
    <row r="97" spans="1:78" s="13" customFormat="1">
      <c r="A97" s="13" t="s">
        <v>304</v>
      </c>
      <c r="C97" s="13" t="s">
        <v>176</v>
      </c>
      <c r="E97" s="3">
        <v>0</v>
      </c>
      <c r="F97" s="3"/>
      <c r="G97" s="3">
        <v>2155647</v>
      </c>
      <c r="H97" s="3"/>
      <c r="I97" s="3">
        <v>0</v>
      </c>
      <c r="J97" s="3"/>
      <c r="K97" s="3">
        <v>0</v>
      </c>
      <c r="L97" s="3"/>
      <c r="M97" s="3">
        <v>0</v>
      </c>
      <c r="N97" s="3"/>
      <c r="O97" s="3">
        <v>466897</v>
      </c>
      <c r="P97" s="3"/>
      <c r="Q97" s="3">
        <v>189134</v>
      </c>
      <c r="R97" s="3"/>
      <c r="S97" s="3">
        <v>9292</v>
      </c>
      <c r="T97" s="3"/>
      <c r="U97" s="3">
        <v>332999</v>
      </c>
      <c r="V97" s="3"/>
      <c r="W97" s="3">
        <v>356688</v>
      </c>
      <c r="X97" s="3"/>
      <c r="Y97" s="3">
        <v>0</v>
      </c>
      <c r="Z97" s="3"/>
      <c r="AA97" s="3">
        <v>25870</v>
      </c>
      <c r="AB97" s="3"/>
      <c r="AC97" s="13" t="s">
        <v>304</v>
      </c>
      <c r="AE97" s="13" t="s">
        <v>176</v>
      </c>
      <c r="AF97" s="3"/>
      <c r="AG97" s="3">
        <v>0</v>
      </c>
      <c r="AH97" s="3"/>
      <c r="AI97" s="3">
        <v>26966</v>
      </c>
      <c r="AJ97" s="3"/>
      <c r="AK97" s="3"/>
      <c r="AL97" s="3"/>
      <c r="AM97" s="3">
        <v>0</v>
      </c>
      <c r="AN97" s="3"/>
      <c r="AO97" s="3">
        <v>60049</v>
      </c>
      <c r="AP97" s="3"/>
      <c r="AQ97" s="3">
        <v>282</v>
      </c>
      <c r="AR97" s="3"/>
      <c r="AS97" s="3">
        <v>0</v>
      </c>
      <c r="AT97" s="3"/>
      <c r="AU97" s="3">
        <v>0</v>
      </c>
      <c r="AV97" s="3"/>
      <c r="AW97" s="3">
        <v>0</v>
      </c>
      <c r="AX97" s="3"/>
      <c r="AY97" s="3">
        <v>0</v>
      </c>
      <c r="AZ97" s="3"/>
      <c r="BA97" s="3">
        <v>0</v>
      </c>
      <c r="BB97" s="3"/>
      <c r="BC97" s="14">
        <f t="shared" si="4"/>
        <v>3623824</v>
      </c>
      <c r="BD97" s="13" t="s">
        <v>304</v>
      </c>
      <c r="BF97" s="13" t="s">
        <v>176</v>
      </c>
      <c r="BG97" s="3"/>
      <c r="BH97" s="3">
        <v>0</v>
      </c>
      <c r="BI97" s="3"/>
      <c r="BJ97" s="3">
        <v>0</v>
      </c>
      <c r="BK97" s="3"/>
      <c r="BL97" s="3">
        <v>0</v>
      </c>
      <c r="BM97" s="3"/>
      <c r="BN97" s="3">
        <v>0</v>
      </c>
      <c r="BO97" s="3"/>
      <c r="BP97" s="14">
        <f t="shared" si="3"/>
        <v>3623824</v>
      </c>
      <c r="BQ97" s="3"/>
      <c r="BR97" s="14">
        <f>GovRev!AT97-BP97</f>
        <v>312755</v>
      </c>
      <c r="BS97" s="3"/>
      <c r="BT97" s="3">
        <v>653772</v>
      </c>
      <c r="BU97" s="3"/>
      <c r="BV97" s="3">
        <v>0</v>
      </c>
      <c r="BW97" s="3"/>
      <c r="BX97" s="14">
        <f t="shared" si="7"/>
        <v>966527</v>
      </c>
      <c r="BY97" s="14"/>
      <c r="BZ97" s="14">
        <f>-BX97+GovBS!AC97</f>
        <v>0</v>
      </c>
    </row>
    <row r="98" spans="1:78" s="13" customFormat="1">
      <c r="A98" s="13" t="s">
        <v>359</v>
      </c>
      <c r="C98" s="13" t="s">
        <v>144</v>
      </c>
      <c r="E98" s="3">
        <v>1009223</v>
      </c>
      <c r="F98" s="3"/>
      <c r="G98" s="3">
        <v>1532931</v>
      </c>
      <c r="H98" s="3"/>
      <c r="I98" s="3">
        <v>0</v>
      </c>
      <c r="J98" s="3"/>
      <c r="K98" s="3">
        <v>0</v>
      </c>
      <c r="L98" s="3"/>
      <c r="M98" s="3">
        <v>0</v>
      </c>
      <c r="N98" s="3"/>
      <c r="O98" s="3">
        <v>1694141</v>
      </c>
      <c r="P98" s="3"/>
      <c r="Q98" s="3">
        <v>4660815</v>
      </c>
      <c r="R98" s="3"/>
      <c r="S98" s="3">
        <v>72087</v>
      </c>
      <c r="T98" s="3"/>
      <c r="U98" s="3">
        <v>712323</v>
      </c>
      <c r="V98" s="3"/>
      <c r="W98" s="3">
        <v>336813</v>
      </c>
      <c r="X98" s="3"/>
      <c r="Y98" s="3">
        <v>323465</v>
      </c>
      <c r="Z98" s="3"/>
      <c r="AA98" s="3">
        <v>261737</v>
      </c>
      <c r="AB98" s="3"/>
      <c r="AC98" s="13" t="s">
        <v>359</v>
      </c>
      <c r="AE98" s="13" t="s">
        <v>144</v>
      </c>
      <c r="AF98" s="3"/>
      <c r="AG98" s="3">
        <v>0</v>
      </c>
      <c r="AH98" s="3"/>
      <c r="AI98" s="3">
        <v>13742</v>
      </c>
      <c r="AJ98" s="3"/>
      <c r="AK98" s="3"/>
      <c r="AL98" s="3"/>
      <c r="AM98" s="3">
        <v>0</v>
      </c>
      <c r="AN98" s="3"/>
      <c r="AO98" s="3">
        <f>57875+40697</f>
        <v>98572</v>
      </c>
      <c r="AP98" s="3"/>
      <c r="AQ98" s="3">
        <v>18888</v>
      </c>
      <c r="AR98" s="3"/>
      <c r="AS98" s="3">
        <v>0</v>
      </c>
      <c r="AT98" s="3"/>
      <c r="AU98" s="3">
        <v>0</v>
      </c>
      <c r="AV98" s="3"/>
      <c r="AW98" s="3">
        <v>0</v>
      </c>
      <c r="AX98" s="3"/>
      <c r="AY98" s="3">
        <v>0</v>
      </c>
      <c r="AZ98" s="3"/>
      <c r="BA98" s="3">
        <v>0</v>
      </c>
      <c r="BB98" s="3"/>
      <c r="BC98" s="14">
        <f t="shared" si="4"/>
        <v>10734737</v>
      </c>
      <c r="BD98" s="13" t="s">
        <v>359</v>
      </c>
      <c r="BF98" s="13" t="s">
        <v>144</v>
      </c>
      <c r="BG98" s="3"/>
      <c r="BH98" s="3">
        <v>33773</v>
      </c>
      <c r="BI98" s="3"/>
      <c r="BJ98" s="3">
        <v>0</v>
      </c>
      <c r="BK98" s="3"/>
      <c r="BL98" s="3">
        <v>0</v>
      </c>
      <c r="BM98" s="3"/>
      <c r="BN98" s="3">
        <v>0</v>
      </c>
      <c r="BO98" s="3"/>
      <c r="BP98" s="14">
        <f t="shared" si="3"/>
        <v>10768510</v>
      </c>
      <c r="BQ98" s="3"/>
      <c r="BR98" s="14">
        <f>GovRev!AT98-BP98</f>
        <v>-493792</v>
      </c>
      <c r="BS98" s="3"/>
      <c r="BT98" s="3">
        <v>2541639</v>
      </c>
      <c r="BU98" s="3"/>
      <c r="BV98" s="3">
        <v>0</v>
      </c>
      <c r="BW98" s="3"/>
      <c r="BX98" s="14">
        <f t="shared" si="7"/>
        <v>2047847</v>
      </c>
      <c r="BY98" s="14"/>
      <c r="BZ98" s="14">
        <f>-BX98+GovBS!AC98</f>
        <v>0</v>
      </c>
    </row>
    <row r="99" spans="1:78" s="13" customFormat="1">
      <c r="A99" s="13" t="s">
        <v>358</v>
      </c>
      <c r="C99" s="13" t="s">
        <v>177</v>
      </c>
      <c r="E99" s="3">
        <v>16062</v>
      </c>
      <c r="F99" s="3"/>
      <c r="G99" s="3">
        <v>5504235</v>
      </c>
      <c r="H99" s="3"/>
      <c r="I99" s="3">
        <v>119335</v>
      </c>
      <c r="J99" s="3"/>
      <c r="K99" s="3">
        <v>50294</v>
      </c>
      <c r="L99" s="3"/>
      <c r="M99" s="3">
        <v>79260</v>
      </c>
      <c r="N99" s="3"/>
      <c r="O99" s="3">
        <v>5668832</v>
      </c>
      <c r="P99" s="3"/>
      <c r="Q99" s="3">
        <v>4890559</v>
      </c>
      <c r="R99" s="3"/>
      <c r="S99" s="3">
        <v>25754</v>
      </c>
      <c r="T99" s="3"/>
      <c r="U99" s="3">
        <v>2455542</v>
      </c>
      <c r="V99" s="3"/>
      <c r="W99" s="3">
        <v>1187183</v>
      </c>
      <c r="X99" s="3"/>
      <c r="Y99" s="3">
        <v>58078</v>
      </c>
      <c r="Z99" s="3"/>
      <c r="AA99" s="3">
        <v>941037</v>
      </c>
      <c r="AB99" s="3"/>
      <c r="AC99" s="13" t="s">
        <v>358</v>
      </c>
      <c r="AE99" s="13" t="s">
        <v>177</v>
      </c>
      <c r="AF99" s="3"/>
      <c r="AG99" s="3">
        <v>43132</v>
      </c>
      <c r="AH99" s="3"/>
      <c r="AI99" s="3">
        <v>388797</v>
      </c>
      <c r="AJ99" s="3"/>
      <c r="AK99" s="3"/>
      <c r="AL99" s="3"/>
      <c r="AM99" s="3">
        <v>27677</v>
      </c>
      <c r="AN99" s="3"/>
      <c r="AO99" s="3">
        <v>3076638</v>
      </c>
      <c r="AP99" s="3"/>
      <c r="AQ99" s="3">
        <v>0</v>
      </c>
      <c r="AR99" s="3"/>
      <c r="AS99" s="3">
        <v>9707</v>
      </c>
      <c r="AT99" s="3"/>
      <c r="AU99" s="3">
        <v>0</v>
      </c>
      <c r="AV99" s="3"/>
      <c r="AW99" s="3">
        <v>2086</v>
      </c>
      <c r="AX99" s="3"/>
      <c r="AY99" s="3">
        <v>423</v>
      </c>
      <c r="AZ99" s="3"/>
      <c r="BA99" s="3">
        <v>0</v>
      </c>
      <c r="BB99" s="3"/>
      <c r="BC99" s="14">
        <f t="shared" si="4"/>
        <v>24544631</v>
      </c>
      <c r="BD99" s="13" t="s">
        <v>358</v>
      </c>
      <c r="BF99" s="13" t="s">
        <v>177</v>
      </c>
      <c r="BG99" s="3"/>
      <c r="BH99" s="3">
        <v>278254</v>
      </c>
      <c r="BI99" s="3"/>
      <c r="BJ99" s="3">
        <v>0</v>
      </c>
      <c r="BK99" s="3"/>
      <c r="BL99" s="3">
        <v>0</v>
      </c>
      <c r="BM99" s="3"/>
      <c r="BN99" s="3">
        <v>0</v>
      </c>
      <c r="BO99" s="3"/>
      <c r="BP99" s="14">
        <f t="shared" si="3"/>
        <v>24822885</v>
      </c>
      <c r="BQ99" s="3"/>
      <c r="BR99" s="14">
        <f>GovRev!AT99-BP99</f>
        <v>-485715</v>
      </c>
      <c r="BS99" s="3"/>
      <c r="BT99" s="3">
        <v>3862790</v>
      </c>
      <c r="BU99" s="3"/>
      <c r="BV99" s="3">
        <v>0</v>
      </c>
      <c r="BW99" s="3"/>
      <c r="BX99" s="14">
        <f t="shared" si="7"/>
        <v>3377075</v>
      </c>
      <c r="BY99" s="14"/>
      <c r="BZ99" s="14">
        <f>-BX99+GovBS!AC99</f>
        <v>0</v>
      </c>
    </row>
    <row r="100" spans="1:78" s="13" customFormat="1" hidden="1">
      <c r="A100" s="3" t="s">
        <v>322</v>
      </c>
      <c r="C100" s="13" t="s">
        <v>153</v>
      </c>
      <c r="E100" s="3">
        <v>0</v>
      </c>
      <c r="F100" s="3"/>
      <c r="G100" s="3">
        <v>0</v>
      </c>
      <c r="H100" s="3"/>
      <c r="I100" s="3">
        <v>0</v>
      </c>
      <c r="J100" s="3"/>
      <c r="K100" s="3">
        <v>0</v>
      </c>
      <c r="L100" s="3"/>
      <c r="M100" s="3">
        <v>0</v>
      </c>
      <c r="N100" s="3"/>
      <c r="O100" s="3">
        <v>0</v>
      </c>
      <c r="P100" s="3"/>
      <c r="Q100" s="3">
        <v>0</v>
      </c>
      <c r="R100" s="3"/>
      <c r="S100" s="3">
        <v>0</v>
      </c>
      <c r="T100" s="3"/>
      <c r="U100" s="3">
        <v>0</v>
      </c>
      <c r="V100" s="3"/>
      <c r="W100" s="3">
        <v>0</v>
      </c>
      <c r="X100" s="3"/>
      <c r="Y100" s="3">
        <v>0</v>
      </c>
      <c r="Z100" s="3"/>
      <c r="AA100" s="3">
        <v>0</v>
      </c>
      <c r="AB100" s="3"/>
      <c r="AC100" s="3" t="s">
        <v>322</v>
      </c>
      <c r="AE100" s="13" t="s">
        <v>153</v>
      </c>
      <c r="AF100" s="3"/>
      <c r="AG100" s="3">
        <v>0</v>
      </c>
      <c r="AH100" s="3"/>
      <c r="AI100" s="3">
        <v>0</v>
      </c>
      <c r="AJ100" s="3"/>
      <c r="AK100" s="3"/>
      <c r="AL100" s="3"/>
      <c r="AM100" s="3">
        <v>0</v>
      </c>
      <c r="AN100" s="3"/>
      <c r="AO100" s="3">
        <v>0</v>
      </c>
      <c r="AP100" s="3"/>
      <c r="AQ100" s="3">
        <v>0</v>
      </c>
      <c r="AR100" s="3"/>
      <c r="AS100" s="3">
        <v>0</v>
      </c>
      <c r="AT100" s="3"/>
      <c r="AU100" s="3">
        <v>0</v>
      </c>
      <c r="AV100" s="3"/>
      <c r="AW100" s="3">
        <v>0</v>
      </c>
      <c r="AX100" s="3"/>
      <c r="AY100" s="3">
        <v>0</v>
      </c>
      <c r="AZ100" s="3"/>
      <c r="BA100" s="3"/>
      <c r="BB100" s="3"/>
      <c r="BC100" s="14">
        <f t="shared" si="4"/>
        <v>0</v>
      </c>
      <c r="BD100" s="3" t="s">
        <v>322</v>
      </c>
      <c r="BF100" s="13" t="s">
        <v>153</v>
      </c>
      <c r="BG100" s="3"/>
      <c r="BH100" s="3">
        <v>0</v>
      </c>
      <c r="BI100" s="3"/>
      <c r="BJ100" s="3">
        <v>0</v>
      </c>
      <c r="BK100" s="3"/>
      <c r="BL100" s="3">
        <v>0</v>
      </c>
      <c r="BM100" s="3"/>
      <c r="BN100" s="3">
        <v>0</v>
      </c>
      <c r="BO100" s="3"/>
      <c r="BP100" s="14">
        <f t="shared" si="3"/>
        <v>0</v>
      </c>
      <c r="BQ100" s="3"/>
      <c r="BR100" s="14">
        <f>GovRev!AT100-BP100</f>
        <v>0</v>
      </c>
      <c r="BS100" s="3"/>
      <c r="BT100" s="3">
        <v>0</v>
      </c>
      <c r="BU100" s="3"/>
      <c r="BV100" s="3"/>
      <c r="BW100" s="3"/>
      <c r="BX100" s="14">
        <f t="shared" si="7"/>
        <v>0</v>
      </c>
      <c r="BY100" s="14"/>
      <c r="BZ100" s="14">
        <f>-BX100+GovBS!AC100</f>
        <v>0</v>
      </c>
    </row>
    <row r="101" spans="1:78" s="13" customFormat="1" ht="12.75" customHeight="1">
      <c r="A101" s="3" t="s">
        <v>323</v>
      </c>
      <c r="C101" s="13" t="s">
        <v>178</v>
      </c>
      <c r="E101" s="3">
        <v>1797037</v>
      </c>
      <c r="F101" s="3"/>
      <c r="G101" s="3">
        <v>5900093</v>
      </c>
      <c r="H101" s="3"/>
      <c r="I101" s="3">
        <v>62979</v>
      </c>
      <c r="J101" s="3"/>
      <c r="K101" s="3">
        <v>33364</v>
      </c>
      <c r="L101" s="3"/>
      <c r="M101" s="3">
        <v>0</v>
      </c>
      <c r="N101" s="3"/>
      <c r="O101" s="3">
        <v>5319777</v>
      </c>
      <c r="P101" s="3"/>
      <c r="Q101" s="3">
        <v>5894955</v>
      </c>
      <c r="R101" s="3"/>
      <c r="S101" s="3">
        <v>48533</v>
      </c>
      <c r="T101" s="3"/>
      <c r="U101" s="3">
        <v>1064959</v>
      </c>
      <c r="V101" s="3"/>
      <c r="W101" s="3">
        <v>689982</v>
      </c>
      <c r="X101" s="3"/>
      <c r="Y101" s="3">
        <v>317873</v>
      </c>
      <c r="Z101" s="3"/>
      <c r="AA101" s="3">
        <v>351431</v>
      </c>
      <c r="AB101" s="3"/>
      <c r="AC101" s="3" t="s">
        <v>323</v>
      </c>
      <c r="AE101" s="13" t="s">
        <v>178</v>
      </c>
      <c r="AF101" s="3"/>
      <c r="AG101" s="3">
        <v>49173</v>
      </c>
      <c r="AH101" s="3"/>
      <c r="AI101" s="3">
        <v>695509</v>
      </c>
      <c r="AJ101" s="3"/>
      <c r="AK101" s="3"/>
      <c r="AL101" s="3"/>
      <c r="AM101" s="3">
        <v>0</v>
      </c>
      <c r="AN101" s="3"/>
      <c r="AO101" s="3">
        <v>180974</v>
      </c>
      <c r="AP101" s="3"/>
      <c r="AQ101" s="3">
        <v>1756</v>
      </c>
      <c r="AR101" s="3"/>
      <c r="AS101" s="3">
        <v>0</v>
      </c>
      <c r="AT101" s="3"/>
      <c r="AU101" s="3">
        <v>0</v>
      </c>
      <c r="AV101" s="3"/>
      <c r="AW101" s="3">
        <v>0</v>
      </c>
      <c r="AX101" s="3"/>
      <c r="AY101" s="3">
        <v>0</v>
      </c>
      <c r="AZ101" s="3"/>
      <c r="BA101" s="3">
        <v>0</v>
      </c>
      <c r="BB101" s="3"/>
      <c r="BC101" s="14">
        <f t="shared" si="4"/>
        <v>22408395</v>
      </c>
      <c r="BD101" s="3" t="s">
        <v>323</v>
      </c>
      <c r="BF101" s="13" t="s">
        <v>178</v>
      </c>
      <c r="BG101" s="3"/>
      <c r="BH101" s="3">
        <v>110000</v>
      </c>
      <c r="BI101" s="3"/>
      <c r="BJ101" s="3">
        <v>0</v>
      </c>
      <c r="BK101" s="3"/>
      <c r="BL101" s="3">
        <v>0</v>
      </c>
      <c r="BM101" s="3"/>
      <c r="BN101" s="3">
        <v>0</v>
      </c>
      <c r="BO101" s="3"/>
      <c r="BP101" s="14">
        <f t="shared" si="3"/>
        <v>22518395</v>
      </c>
      <c r="BQ101" s="3"/>
      <c r="BR101" s="14">
        <f>GovRev!AT101-BP101</f>
        <v>438932</v>
      </c>
      <c r="BS101" s="3"/>
      <c r="BT101" s="3">
        <v>1173119</v>
      </c>
      <c r="BU101" s="3"/>
      <c r="BV101" s="3">
        <v>0</v>
      </c>
      <c r="BW101" s="3"/>
      <c r="BX101" s="14">
        <f t="shared" si="7"/>
        <v>1612051</v>
      </c>
      <c r="BY101" s="14"/>
      <c r="BZ101" s="14">
        <f>-BX101+GovBS!AC101</f>
        <v>0</v>
      </c>
    </row>
    <row r="102" spans="1:78" s="13" customFormat="1">
      <c r="A102" s="3" t="s">
        <v>179</v>
      </c>
      <c r="C102" s="13" t="s">
        <v>180</v>
      </c>
      <c r="E102" s="3">
        <v>993507</v>
      </c>
      <c r="F102" s="3"/>
      <c r="G102" s="3">
        <v>185397</v>
      </c>
      <c r="H102" s="3"/>
      <c r="I102" s="3">
        <v>0</v>
      </c>
      <c r="J102" s="3"/>
      <c r="K102" s="3">
        <v>161408</v>
      </c>
      <c r="L102" s="3"/>
      <c r="M102" s="3">
        <v>501</v>
      </c>
      <c r="N102" s="3"/>
      <c r="O102" s="3">
        <v>823787</v>
      </c>
      <c r="P102" s="3"/>
      <c r="Q102" s="3">
        <v>2738934</v>
      </c>
      <c r="R102" s="3"/>
      <c r="S102" s="3">
        <v>40352</v>
      </c>
      <c r="T102" s="3"/>
      <c r="U102" s="3">
        <v>261653</v>
      </c>
      <c r="V102" s="3"/>
      <c r="W102" s="3">
        <v>263023</v>
      </c>
      <c r="X102" s="3"/>
      <c r="Y102" s="3">
        <v>313918</v>
      </c>
      <c r="Z102" s="3"/>
      <c r="AA102" s="3">
        <v>13</v>
      </c>
      <c r="AB102" s="3"/>
      <c r="AC102" s="3" t="s">
        <v>179</v>
      </c>
      <c r="AE102" s="13" t="s">
        <v>180</v>
      </c>
      <c r="AF102" s="3"/>
      <c r="AG102" s="3">
        <v>202479</v>
      </c>
      <c r="AH102" s="3"/>
      <c r="AI102" s="3">
        <v>294460</v>
      </c>
      <c r="AJ102" s="3"/>
      <c r="AK102" s="3"/>
      <c r="AL102" s="3"/>
      <c r="AM102" s="3">
        <v>0</v>
      </c>
      <c r="AN102" s="3"/>
      <c r="AO102" s="3">
        <v>9748</v>
      </c>
      <c r="AP102" s="3"/>
      <c r="AQ102" s="3">
        <v>16393</v>
      </c>
      <c r="AR102" s="3"/>
      <c r="AS102" s="3">
        <v>0</v>
      </c>
      <c r="AT102" s="3"/>
      <c r="AU102" s="3">
        <v>0</v>
      </c>
      <c r="AV102" s="3"/>
      <c r="AW102" s="3">
        <v>0</v>
      </c>
      <c r="AX102" s="3"/>
      <c r="AY102" s="3">
        <v>0</v>
      </c>
      <c r="AZ102" s="3"/>
      <c r="BA102" s="3">
        <v>0</v>
      </c>
      <c r="BB102" s="3"/>
      <c r="BC102" s="14">
        <f t="shared" si="4"/>
        <v>6305573</v>
      </c>
      <c r="BD102" s="3" t="s">
        <v>179</v>
      </c>
      <c r="BF102" s="13" t="s">
        <v>180</v>
      </c>
      <c r="BG102" s="3"/>
      <c r="BH102" s="3">
        <v>20</v>
      </c>
      <c r="BI102" s="3"/>
      <c r="BJ102" s="3">
        <v>0</v>
      </c>
      <c r="BK102" s="3"/>
      <c r="BL102" s="3">
        <v>0</v>
      </c>
      <c r="BM102" s="3"/>
      <c r="BN102" s="3">
        <v>0</v>
      </c>
      <c r="BO102" s="3"/>
      <c r="BP102" s="14">
        <f t="shared" si="3"/>
        <v>6305593</v>
      </c>
      <c r="BQ102" s="3"/>
      <c r="BR102" s="14">
        <f>GovRev!AT102-BP102</f>
        <v>-365179</v>
      </c>
      <c r="BS102" s="3"/>
      <c r="BT102" s="3">
        <v>1757850</v>
      </c>
      <c r="BU102" s="3"/>
      <c r="BV102" s="3">
        <v>0</v>
      </c>
      <c r="BW102" s="3"/>
      <c r="BX102" s="14">
        <f t="shared" si="7"/>
        <v>1392671</v>
      </c>
      <c r="BY102" s="14"/>
      <c r="BZ102" s="14">
        <f>-BX102+GovBS!AC102</f>
        <v>0</v>
      </c>
    </row>
    <row r="103" spans="1:78" s="13" customFormat="1" hidden="1">
      <c r="A103" s="3" t="s">
        <v>324</v>
      </c>
      <c r="C103" s="13" t="s">
        <v>181</v>
      </c>
      <c r="E103" s="3">
        <v>0</v>
      </c>
      <c r="F103" s="3"/>
      <c r="G103" s="3">
        <v>0</v>
      </c>
      <c r="H103" s="3"/>
      <c r="I103" s="3">
        <v>0</v>
      </c>
      <c r="J103" s="3"/>
      <c r="K103" s="3">
        <v>0</v>
      </c>
      <c r="L103" s="3"/>
      <c r="M103" s="3">
        <v>0</v>
      </c>
      <c r="N103" s="3"/>
      <c r="O103" s="3">
        <v>0</v>
      </c>
      <c r="P103" s="3"/>
      <c r="Q103" s="3">
        <v>0</v>
      </c>
      <c r="R103" s="3"/>
      <c r="S103" s="3">
        <v>0</v>
      </c>
      <c r="T103" s="3"/>
      <c r="U103" s="3">
        <v>0</v>
      </c>
      <c r="V103" s="3"/>
      <c r="W103" s="3">
        <v>0</v>
      </c>
      <c r="X103" s="3"/>
      <c r="Y103" s="3">
        <v>0</v>
      </c>
      <c r="Z103" s="3"/>
      <c r="AA103" s="3">
        <v>0</v>
      </c>
      <c r="AB103" s="3"/>
      <c r="AC103" s="3" t="s">
        <v>324</v>
      </c>
      <c r="AE103" s="13" t="s">
        <v>181</v>
      </c>
      <c r="AF103" s="3"/>
      <c r="AG103" s="3">
        <v>0</v>
      </c>
      <c r="AH103" s="3"/>
      <c r="AI103" s="3">
        <v>0</v>
      </c>
      <c r="AJ103" s="3"/>
      <c r="AK103" s="3"/>
      <c r="AL103" s="3"/>
      <c r="AM103" s="3">
        <v>0</v>
      </c>
      <c r="AN103" s="3"/>
      <c r="AO103" s="3">
        <v>0</v>
      </c>
      <c r="AP103" s="3"/>
      <c r="AQ103" s="3">
        <v>0</v>
      </c>
      <c r="AR103" s="3"/>
      <c r="AS103" s="3">
        <v>0</v>
      </c>
      <c r="AT103" s="3"/>
      <c r="AU103" s="3">
        <v>0</v>
      </c>
      <c r="AV103" s="3"/>
      <c r="AW103" s="3">
        <v>0</v>
      </c>
      <c r="AX103" s="3"/>
      <c r="AY103" s="3">
        <v>0</v>
      </c>
      <c r="AZ103" s="3"/>
      <c r="BA103" s="3"/>
      <c r="BB103" s="3"/>
      <c r="BC103" s="14">
        <f t="shared" si="4"/>
        <v>0</v>
      </c>
      <c r="BD103" s="3" t="s">
        <v>324</v>
      </c>
      <c r="BF103" s="13" t="s">
        <v>181</v>
      </c>
      <c r="BG103" s="3"/>
      <c r="BH103" s="3">
        <v>0</v>
      </c>
      <c r="BI103" s="3"/>
      <c r="BJ103" s="3">
        <v>0</v>
      </c>
      <c r="BK103" s="3"/>
      <c r="BL103" s="3">
        <v>0</v>
      </c>
      <c r="BM103" s="3"/>
      <c r="BN103" s="3">
        <v>0</v>
      </c>
      <c r="BO103" s="3"/>
      <c r="BP103" s="14">
        <f t="shared" si="3"/>
        <v>0</v>
      </c>
      <c r="BQ103" s="3"/>
      <c r="BR103" s="14">
        <f>GovRev!AT103-BP103</f>
        <v>0</v>
      </c>
      <c r="BS103" s="3"/>
      <c r="BT103" s="3">
        <v>0</v>
      </c>
      <c r="BU103" s="3"/>
      <c r="BV103" s="3"/>
      <c r="BW103" s="3"/>
      <c r="BX103" s="14">
        <f t="shared" si="7"/>
        <v>0</v>
      </c>
      <c r="BY103" s="14"/>
      <c r="BZ103" s="14">
        <f>-BX103+GovBS!AC103</f>
        <v>0</v>
      </c>
    </row>
    <row r="104" spans="1:78" s="13" customFormat="1">
      <c r="A104" s="3" t="s">
        <v>325</v>
      </c>
      <c r="C104" s="13" t="s">
        <v>182</v>
      </c>
      <c r="E104" s="3">
        <v>238543</v>
      </c>
      <c r="F104" s="3"/>
      <c r="G104" s="3">
        <v>4896271</v>
      </c>
      <c r="H104" s="3"/>
      <c r="I104" s="3">
        <v>0</v>
      </c>
      <c r="J104" s="3"/>
      <c r="K104" s="3">
        <v>0</v>
      </c>
      <c r="L104" s="3"/>
      <c r="M104" s="3">
        <v>0</v>
      </c>
      <c r="N104" s="3"/>
      <c r="O104" s="3">
        <v>2778954</v>
      </c>
      <c r="P104" s="3"/>
      <c r="Q104" s="3">
        <v>2632147</v>
      </c>
      <c r="R104" s="3"/>
      <c r="S104" s="3">
        <v>16100</v>
      </c>
      <c r="T104" s="3"/>
      <c r="U104" s="3">
        <v>979688</v>
      </c>
      <c r="V104" s="3"/>
      <c r="W104" s="3">
        <v>216739</v>
      </c>
      <c r="X104" s="3"/>
      <c r="Y104" s="3">
        <v>0</v>
      </c>
      <c r="Z104" s="3"/>
      <c r="AA104" s="3">
        <v>49471</v>
      </c>
      <c r="AB104" s="3"/>
      <c r="AC104" s="3" t="s">
        <v>325</v>
      </c>
      <c r="AE104" s="13" t="s">
        <v>182</v>
      </c>
      <c r="AF104" s="3"/>
      <c r="AG104" s="3">
        <v>11533</v>
      </c>
      <c r="AH104" s="3"/>
      <c r="AI104" s="3">
        <v>193139</v>
      </c>
      <c r="AJ104" s="3"/>
      <c r="AK104" s="3"/>
      <c r="AL104" s="3"/>
      <c r="AM104" s="3">
        <v>0</v>
      </c>
      <c r="AN104" s="3"/>
      <c r="AO104" s="3">
        <v>0</v>
      </c>
      <c r="AP104" s="3"/>
      <c r="AQ104" s="3">
        <v>1518</v>
      </c>
      <c r="AR104" s="3"/>
      <c r="AS104" s="3">
        <v>0</v>
      </c>
      <c r="AT104" s="3"/>
      <c r="AU104" s="3">
        <v>0</v>
      </c>
      <c r="AV104" s="3"/>
      <c r="AW104" s="3">
        <v>7390</v>
      </c>
      <c r="AX104" s="3"/>
      <c r="AY104" s="3">
        <v>6032</v>
      </c>
      <c r="AZ104" s="3"/>
      <c r="BA104" s="3">
        <v>0</v>
      </c>
      <c r="BB104" s="3"/>
      <c r="BC104" s="14">
        <f t="shared" si="4"/>
        <v>12027525</v>
      </c>
      <c r="BD104" s="3" t="s">
        <v>325</v>
      </c>
      <c r="BF104" s="13" t="s">
        <v>182</v>
      </c>
      <c r="BG104" s="3"/>
      <c r="BH104" s="3">
        <v>0</v>
      </c>
      <c r="BI104" s="3"/>
      <c r="BJ104" s="3">
        <v>0</v>
      </c>
      <c r="BK104" s="3"/>
      <c r="BL104" s="3">
        <v>0</v>
      </c>
      <c r="BM104" s="3"/>
      <c r="BN104" s="3">
        <v>0</v>
      </c>
      <c r="BO104" s="3"/>
      <c r="BP104" s="14">
        <f t="shared" si="3"/>
        <v>12027525</v>
      </c>
      <c r="BQ104" s="3"/>
      <c r="BR104" s="14">
        <f>GovRev!AT104-BP104</f>
        <v>776387</v>
      </c>
      <c r="BS104" s="3"/>
      <c r="BT104" s="3">
        <v>1830684</v>
      </c>
      <c r="BU104" s="3"/>
      <c r="BV104" s="3">
        <v>0</v>
      </c>
      <c r="BW104" s="3"/>
      <c r="BX104" s="14">
        <f t="shared" si="7"/>
        <v>2607071</v>
      </c>
      <c r="BY104" s="14"/>
      <c r="BZ104" s="14">
        <f>-BX104+GovBS!AC104</f>
        <v>0</v>
      </c>
    </row>
    <row r="105" spans="1:78" s="13" customFormat="1" hidden="1">
      <c r="A105" s="3" t="s">
        <v>280</v>
      </c>
      <c r="B105" s="3"/>
      <c r="C105" s="3" t="s">
        <v>191</v>
      </c>
      <c r="E105" s="3">
        <v>0</v>
      </c>
      <c r="F105" s="3"/>
      <c r="G105" s="3">
        <v>0</v>
      </c>
      <c r="H105" s="3"/>
      <c r="I105" s="3">
        <v>0</v>
      </c>
      <c r="J105" s="3"/>
      <c r="K105" s="3">
        <v>0</v>
      </c>
      <c r="L105" s="3"/>
      <c r="M105" s="3">
        <v>0</v>
      </c>
      <c r="N105" s="3"/>
      <c r="O105" s="3">
        <v>0</v>
      </c>
      <c r="P105" s="3"/>
      <c r="Q105" s="3">
        <v>0</v>
      </c>
      <c r="R105" s="3"/>
      <c r="S105" s="3">
        <v>0</v>
      </c>
      <c r="T105" s="3"/>
      <c r="U105" s="3">
        <v>0</v>
      </c>
      <c r="V105" s="3"/>
      <c r="W105" s="3">
        <v>0</v>
      </c>
      <c r="X105" s="3"/>
      <c r="Y105" s="3">
        <v>0</v>
      </c>
      <c r="Z105" s="3"/>
      <c r="AA105" s="3">
        <v>0</v>
      </c>
      <c r="AB105" s="3"/>
      <c r="AC105" s="3" t="s">
        <v>280</v>
      </c>
      <c r="AD105" s="3"/>
      <c r="AE105" s="3" t="s">
        <v>191</v>
      </c>
      <c r="AF105" s="3"/>
      <c r="AG105" s="3">
        <v>0</v>
      </c>
      <c r="AH105" s="3"/>
      <c r="AI105" s="3">
        <v>0</v>
      </c>
      <c r="AJ105" s="3"/>
      <c r="AK105" s="3"/>
      <c r="AL105" s="3"/>
      <c r="AM105" s="3">
        <v>0</v>
      </c>
      <c r="AN105" s="3"/>
      <c r="AO105" s="3">
        <v>0</v>
      </c>
      <c r="AP105" s="3"/>
      <c r="AQ105" s="3">
        <v>0</v>
      </c>
      <c r="AR105" s="3"/>
      <c r="AS105" s="3">
        <v>0</v>
      </c>
      <c r="AT105" s="3"/>
      <c r="AU105" s="3">
        <v>0</v>
      </c>
      <c r="AV105" s="3"/>
      <c r="AW105" s="3">
        <v>0</v>
      </c>
      <c r="AX105" s="3"/>
      <c r="AY105" s="3">
        <v>0</v>
      </c>
      <c r="AZ105" s="3"/>
      <c r="BA105" s="3"/>
      <c r="BB105" s="3"/>
      <c r="BC105" s="14">
        <f t="shared" si="4"/>
        <v>0</v>
      </c>
      <c r="BD105" s="3" t="s">
        <v>280</v>
      </c>
      <c r="BE105" s="3"/>
      <c r="BF105" s="3" t="s">
        <v>191</v>
      </c>
      <c r="BG105" s="3"/>
      <c r="BH105" s="3">
        <v>0</v>
      </c>
      <c r="BI105" s="3"/>
      <c r="BJ105" s="3">
        <v>0</v>
      </c>
      <c r="BK105" s="3"/>
      <c r="BL105" s="3">
        <v>0</v>
      </c>
      <c r="BM105" s="3"/>
      <c r="BN105" s="3">
        <v>0</v>
      </c>
      <c r="BO105" s="3"/>
      <c r="BP105" s="14">
        <f t="shared" si="3"/>
        <v>0</v>
      </c>
      <c r="BQ105" s="3"/>
      <c r="BR105" s="14">
        <f>GovRev!AT105-BP105</f>
        <v>0</v>
      </c>
      <c r="BS105" s="3"/>
      <c r="BT105" s="3">
        <v>0</v>
      </c>
      <c r="BU105" s="3"/>
      <c r="BV105" s="3"/>
      <c r="BW105" s="3"/>
      <c r="BX105" s="14">
        <f t="shared" si="7"/>
        <v>0</v>
      </c>
      <c r="BY105" s="14"/>
      <c r="BZ105" s="14">
        <f>-BX105+GovBS!AC105</f>
        <v>0</v>
      </c>
    </row>
    <row r="106" spans="1:78" s="13" customFormat="1">
      <c r="A106" s="3" t="s">
        <v>326</v>
      </c>
      <c r="C106" s="13" t="s">
        <v>183</v>
      </c>
      <c r="E106" s="3">
        <v>0</v>
      </c>
      <c r="F106" s="3"/>
      <c r="G106" s="3">
        <v>6044311</v>
      </c>
      <c r="H106" s="3"/>
      <c r="I106" s="3">
        <v>0</v>
      </c>
      <c r="J106" s="3"/>
      <c r="K106" s="3">
        <v>0</v>
      </c>
      <c r="L106" s="3"/>
      <c r="M106" s="3">
        <v>0</v>
      </c>
      <c r="N106" s="3"/>
      <c r="O106" s="3">
        <v>8796131</v>
      </c>
      <c r="P106" s="3"/>
      <c r="Q106" s="3">
        <v>9026475</v>
      </c>
      <c r="R106" s="3"/>
      <c r="S106" s="3">
        <v>0</v>
      </c>
      <c r="T106" s="3"/>
      <c r="U106" s="3">
        <f>88273+1610806</f>
        <v>1699079</v>
      </c>
      <c r="V106" s="3"/>
      <c r="W106" s="3">
        <v>603069</v>
      </c>
      <c r="X106" s="3"/>
      <c r="Y106" s="3">
        <v>2876</v>
      </c>
      <c r="Z106" s="3"/>
      <c r="AA106" s="3">
        <v>1472607</v>
      </c>
      <c r="AB106" s="3"/>
      <c r="AC106" s="3" t="s">
        <v>326</v>
      </c>
      <c r="AE106" s="13" t="s">
        <v>183</v>
      </c>
      <c r="AF106" s="3"/>
      <c r="AG106" s="3">
        <v>895596</v>
      </c>
      <c r="AH106" s="3"/>
      <c r="AI106" s="3">
        <v>1021594</v>
      </c>
      <c r="AJ106" s="3"/>
      <c r="AK106" s="3"/>
      <c r="AL106" s="3"/>
      <c r="AM106" s="3">
        <v>0</v>
      </c>
      <c r="AN106" s="3"/>
      <c r="AO106" s="3">
        <v>224082</v>
      </c>
      <c r="AP106" s="3"/>
      <c r="AQ106" s="3">
        <v>0</v>
      </c>
      <c r="AR106" s="3"/>
      <c r="AS106" s="3">
        <v>287939</v>
      </c>
      <c r="AT106" s="3"/>
      <c r="AU106" s="3">
        <v>0</v>
      </c>
      <c r="AV106" s="3"/>
      <c r="AW106" s="3">
        <v>217903</v>
      </c>
      <c r="AX106" s="3"/>
      <c r="AY106" s="3">
        <v>9762</v>
      </c>
      <c r="AZ106" s="3"/>
      <c r="BA106" s="3">
        <v>0</v>
      </c>
      <c r="BB106" s="3"/>
      <c r="BC106" s="14">
        <f t="shared" si="4"/>
        <v>30301424</v>
      </c>
      <c r="BD106" s="3" t="s">
        <v>326</v>
      </c>
      <c r="BF106" s="13" t="s">
        <v>183</v>
      </c>
      <c r="BG106" s="3"/>
      <c r="BH106" s="3">
        <v>96023</v>
      </c>
      <c r="BI106" s="3"/>
      <c r="BJ106" s="3">
        <v>0</v>
      </c>
      <c r="BK106" s="3"/>
      <c r="BL106" s="3">
        <v>0</v>
      </c>
      <c r="BM106" s="3"/>
      <c r="BN106" s="3">
        <v>0</v>
      </c>
      <c r="BO106" s="3"/>
      <c r="BP106" s="14">
        <f t="shared" si="3"/>
        <v>30397447</v>
      </c>
      <c r="BQ106" s="3"/>
      <c r="BR106" s="14">
        <f>GovRev!AT106-BP106</f>
        <v>584139</v>
      </c>
      <c r="BS106" s="3"/>
      <c r="BT106" s="3">
        <v>13336934</v>
      </c>
      <c r="BU106" s="3"/>
      <c r="BV106" s="3">
        <v>0</v>
      </c>
      <c r="BW106" s="3"/>
      <c r="BX106" s="14">
        <f t="shared" si="7"/>
        <v>13921073</v>
      </c>
      <c r="BY106" s="14"/>
      <c r="BZ106" s="14">
        <f>-BX106+GovBS!AC106</f>
        <v>0</v>
      </c>
    </row>
    <row r="107" spans="1:78" s="13" customFormat="1">
      <c r="A107" s="3" t="s">
        <v>184</v>
      </c>
      <c r="C107" s="13" t="s">
        <v>185</v>
      </c>
      <c r="E107" s="3">
        <v>1019705</v>
      </c>
      <c r="F107" s="3"/>
      <c r="G107" s="3">
        <v>4504683</v>
      </c>
      <c r="H107" s="3"/>
      <c r="I107" s="3">
        <v>0</v>
      </c>
      <c r="J107" s="3"/>
      <c r="K107" s="3">
        <v>36609</v>
      </c>
      <c r="L107" s="3"/>
      <c r="M107" s="3">
        <v>226511</v>
      </c>
      <c r="N107" s="3"/>
      <c r="O107" s="3">
        <v>3558167</v>
      </c>
      <c r="P107" s="3"/>
      <c r="Q107" s="3">
        <v>5105515</v>
      </c>
      <c r="R107" s="3"/>
      <c r="S107" s="3">
        <v>74523</v>
      </c>
      <c r="T107" s="3"/>
      <c r="U107" s="3">
        <v>1437113</v>
      </c>
      <c r="V107" s="3"/>
      <c r="W107" s="3">
        <v>568639</v>
      </c>
      <c r="X107" s="3"/>
      <c r="Y107" s="3">
        <v>0</v>
      </c>
      <c r="Z107" s="3"/>
      <c r="AA107" s="3">
        <v>209764</v>
      </c>
      <c r="AB107" s="3"/>
      <c r="AC107" s="3" t="s">
        <v>184</v>
      </c>
      <c r="AE107" s="13" t="s">
        <v>185</v>
      </c>
      <c r="AF107" s="3"/>
      <c r="AG107" s="3">
        <v>54071</v>
      </c>
      <c r="AH107" s="3"/>
      <c r="AI107" s="3">
        <v>411636</v>
      </c>
      <c r="AJ107" s="3"/>
      <c r="AK107" s="3"/>
      <c r="AL107" s="3"/>
      <c r="AM107" s="3">
        <v>0</v>
      </c>
      <c r="AN107" s="3"/>
      <c r="AO107" s="3">
        <v>141759</v>
      </c>
      <c r="AP107" s="3"/>
      <c r="AQ107" s="3">
        <v>14133</v>
      </c>
      <c r="AR107" s="3"/>
      <c r="AS107" s="3">
        <v>0</v>
      </c>
      <c r="AT107" s="3"/>
      <c r="AU107" s="3">
        <v>0</v>
      </c>
      <c r="AV107" s="3"/>
      <c r="AW107" s="3">
        <v>14285</v>
      </c>
      <c r="AX107" s="3"/>
      <c r="AY107" s="3">
        <v>1757</v>
      </c>
      <c r="AZ107" s="3"/>
      <c r="BA107" s="3">
        <v>0</v>
      </c>
      <c r="BB107" s="3"/>
      <c r="BC107" s="14">
        <f t="shared" si="4"/>
        <v>17378870</v>
      </c>
      <c r="BD107" s="3" t="s">
        <v>184</v>
      </c>
      <c r="BF107" s="13" t="s">
        <v>185</v>
      </c>
      <c r="BG107" s="3"/>
      <c r="BH107" s="3">
        <v>40862</v>
      </c>
      <c r="BI107" s="3"/>
      <c r="BJ107" s="3">
        <v>0</v>
      </c>
      <c r="BK107" s="3"/>
      <c r="BL107" s="3">
        <v>0</v>
      </c>
      <c r="BM107" s="3"/>
      <c r="BN107" s="3">
        <v>0</v>
      </c>
      <c r="BO107" s="3"/>
      <c r="BP107" s="14">
        <f t="shared" si="3"/>
        <v>17419732</v>
      </c>
      <c r="BQ107" s="3"/>
      <c r="BR107" s="14">
        <f>GovRev!AT107-BP107</f>
        <v>332358</v>
      </c>
      <c r="BS107" s="3"/>
      <c r="BT107" s="3">
        <v>2977947</v>
      </c>
      <c r="BU107" s="3"/>
      <c r="BV107" s="3">
        <v>0</v>
      </c>
      <c r="BW107" s="3"/>
      <c r="BX107" s="14">
        <f t="shared" si="7"/>
        <v>3310305</v>
      </c>
      <c r="BY107" s="14"/>
      <c r="BZ107" s="14">
        <f>-BX107+GovBS!AC107</f>
        <v>0</v>
      </c>
    </row>
    <row r="108" spans="1:78" s="13" customFormat="1">
      <c r="A108" s="3" t="s">
        <v>268</v>
      </c>
      <c r="C108" s="13" t="s">
        <v>195</v>
      </c>
      <c r="E108" s="3">
        <v>1086167</v>
      </c>
      <c r="F108" s="3"/>
      <c r="G108" s="3">
        <v>4714020</v>
      </c>
      <c r="H108" s="3"/>
      <c r="I108" s="3">
        <v>0</v>
      </c>
      <c r="J108" s="3"/>
      <c r="K108" s="3">
        <v>0</v>
      </c>
      <c r="L108" s="3"/>
      <c r="M108" s="3">
        <v>17392</v>
      </c>
      <c r="N108" s="3"/>
      <c r="O108" s="3">
        <v>4532717</v>
      </c>
      <c r="P108" s="3"/>
      <c r="Q108" s="3">
        <v>3950237</v>
      </c>
      <c r="R108" s="3"/>
      <c r="S108" s="3">
        <v>98235</v>
      </c>
      <c r="T108" s="3"/>
      <c r="U108" s="3">
        <v>1543384</v>
      </c>
      <c r="V108" s="3"/>
      <c r="W108" s="3">
        <v>681203</v>
      </c>
      <c r="X108" s="3"/>
      <c r="Y108" s="3">
        <v>197577</v>
      </c>
      <c r="Z108" s="3"/>
      <c r="AA108" s="3">
        <v>590186</v>
      </c>
      <c r="AB108" s="3"/>
      <c r="AC108" s="3" t="s">
        <v>268</v>
      </c>
      <c r="AE108" s="13" t="s">
        <v>195</v>
      </c>
      <c r="AF108" s="3"/>
      <c r="AG108" s="3">
        <v>151949</v>
      </c>
      <c r="AH108" s="3"/>
      <c r="AI108" s="3">
        <v>965366</v>
      </c>
      <c r="AJ108" s="3"/>
      <c r="AK108" s="3"/>
      <c r="AL108" s="3"/>
      <c r="AM108" s="3">
        <v>56687</v>
      </c>
      <c r="AN108" s="3"/>
      <c r="AO108" s="3">
        <v>213759</v>
      </c>
      <c r="AP108" s="3"/>
      <c r="AQ108" s="3">
        <v>1335</v>
      </c>
      <c r="AR108" s="3"/>
      <c r="AS108" s="3">
        <v>80915</v>
      </c>
      <c r="AT108" s="3"/>
      <c r="AU108" s="3">
        <v>0</v>
      </c>
      <c r="AV108" s="3"/>
      <c r="AW108" s="3">
        <v>0</v>
      </c>
      <c r="AX108" s="3"/>
      <c r="AY108" s="3">
        <v>122878</v>
      </c>
      <c r="AZ108" s="3"/>
      <c r="BA108" s="3">
        <v>0</v>
      </c>
      <c r="BB108" s="3"/>
      <c r="BC108" s="14">
        <f t="shared" si="4"/>
        <v>19004007</v>
      </c>
      <c r="BD108" s="3" t="s">
        <v>268</v>
      </c>
      <c r="BF108" s="13" t="s">
        <v>195</v>
      </c>
      <c r="BG108" s="3"/>
      <c r="BH108" s="3">
        <v>129103</v>
      </c>
      <c r="BI108" s="3"/>
      <c r="BJ108" s="3">
        <v>0</v>
      </c>
      <c r="BK108" s="3"/>
      <c r="BL108" s="3">
        <v>0</v>
      </c>
      <c r="BM108" s="3"/>
      <c r="BN108" s="3">
        <v>0</v>
      </c>
      <c r="BO108" s="3"/>
      <c r="BP108" s="14">
        <f t="shared" si="3"/>
        <v>19133110</v>
      </c>
      <c r="BQ108" s="3"/>
      <c r="BR108" s="14">
        <f>GovRev!AT108-BP108</f>
        <v>-355445</v>
      </c>
      <c r="BS108" s="3"/>
      <c r="BT108" s="3">
        <v>807779</v>
      </c>
      <c r="BU108" s="3"/>
      <c r="BV108" s="3">
        <v>0</v>
      </c>
      <c r="BW108" s="3"/>
      <c r="BX108" s="14">
        <f t="shared" si="7"/>
        <v>452334</v>
      </c>
      <c r="BY108" s="14"/>
      <c r="BZ108" s="14">
        <f>-BX108+GovBS!AC108</f>
        <v>0</v>
      </c>
    </row>
    <row r="109" spans="1:78" s="13" customFormat="1">
      <c r="A109" s="13" t="s">
        <v>305</v>
      </c>
      <c r="C109" s="13" t="s">
        <v>162</v>
      </c>
      <c r="E109" s="3">
        <v>391095</v>
      </c>
      <c r="F109" s="3"/>
      <c r="G109" s="3">
        <v>5341864</v>
      </c>
      <c r="H109" s="3"/>
      <c r="I109" s="3">
        <v>0</v>
      </c>
      <c r="J109" s="3"/>
      <c r="K109" s="3">
        <v>0</v>
      </c>
      <c r="L109" s="3"/>
      <c r="M109" s="3">
        <v>0</v>
      </c>
      <c r="N109" s="3"/>
      <c r="O109" s="3">
        <v>5401533</v>
      </c>
      <c r="P109" s="3"/>
      <c r="Q109" s="3">
        <v>6683924</v>
      </c>
      <c r="R109" s="3"/>
      <c r="S109" s="3">
        <v>109721</v>
      </c>
      <c r="T109" s="3"/>
      <c r="U109" s="3">
        <v>567411</v>
      </c>
      <c r="V109" s="3"/>
      <c r="W109" s="3">
        <v>385659</v>
      </c>
      <c r="X109" s="3"/>
      <c r="Y109" s="3">
        <v>164814</v>
      </c>
      <c r="Z109" s="3"/>
      <c r="AA109" s="3">
        <v>519466</v>
      </c>
      <c r="AB109" s="3"/>
      <c r="AC109" s="13" t="s">
        <v>305</v>
      </c>
      <c r="AE109" s="13" t="s">
        <v>162</v>
      </c>
      <c r="AF109" s="3"/>
      <c r="AG109" s="3">
        <v>0</v>
      </c>
      <c r="AH109" s="3"/>
      <c r="AI109" s="3">
        <v>34647</v>
      </c>
      <c r="AJ109" s="3"/>
      <c r="AK109" s="3"/>
      <c r="AL109" s="3"/>
      <c r="AM109" s="3">
        <v>0</v>
      </c>
      <c r="AN109" s="3"/>
      <c r="AO109" s="3">
        <v>105203</v>
      </c>
      <c r="AP109" s="3"/>
      <c r="AQ109" s="3">
        <v>23279</v>
      </c>
      <c r="AR109" s="3"/>
      <c r="AS109" s="3">
        <v>0</v>
      </c>
      <c r="AT109" s="3"/>
      <c r="AU109" s="3">
        <v>0</v>
      </c>
      <c r="AV109" s="3"/>
      <c r="AW109" s="3">
        <v>0</v>
      </c>
      <c r="AX109" s="3"/>
      <c r="AY109" s="3">
        <v>0</v>
      </c>
      <c r="AZ109" s="3"/>
      <c r="BA109" s="3">
        <v>0</v>
      </c>
      <c r="BB109" s="3"/>
      <c r="BC109" s="14">
        <f t="shared" si="4"/>
        <v>19728616</v>
      </c>
      <c r="BD109" s="13" t="s">
        <v>305</v>
      </c>
      <c r="BF109" s="13" t="s">
        <v>162</v>
      </c>
      <c r="BG109" s="3"/>
      <c r="BH109" s="3">
        <v>0</v>
      </c>
      <c r="BI109" s="3"/>
      <c r="BJ109" s="3">
        <v>0</v>
      </c>
      <c r="BK109" s="3"/>
      <c r="BL109" s="3">
        <v>0</v>
      </c>
      <c r="BM109" s="3"/>
      <c r="BN109" s="3">
        <v>0</v>
      </c>
      <c r="BO109" s="3"/>
      <c r="BP109" s="14">
        <f t="shared" ref="BP109" si="8">+BC109+BH109+BJ109+BN109+BL109</f>
        <v>19728616</v>
      </c>
      <c r="BQ109" s="3"/>
      <c r="BR109" s="14">
        <f>GovRev!AT109-BP109</f>
        <v>111697</v>
      </c>
      <c r="BS109" s="3"/>
      <c r="BT109" s="3">
        <v>5238528</v>
      </c>
      <c r="BU109" s="3"/>
      <c r="BV109" s="3">
        <v>0</v>
      </c>
      <c r="BW109" s="3"/>
      <c r="BX109" s="14">
        <f t="shared" ref="BX109" si="9">+BT109+BR109+BV109</f>
        <v>5350225</v>
      </c>
      <c r="BY109" s="14"/>
      <c r="BZ109" s="14">
        <f>-BX109+GovBS!AC109</f>
        <v>0</v>
      </c>
    </row>
    <row r="110" spans="1:78" s="13" customFormat="1">
      <c r="A110" s="3" t="s">
        <v>165</v>
      </c>
      <c r="C110" s="3" t="s">
        <v>327</v>
      </c>
      <c r="E110" s="3">
        <v>1351950</v>
      </c>
      <c r="F110" s="3"/>
      <c r="G110" s="3">
        <v>6431829</v>
      </c>
      <c r="H110" s="3"/>
      <c r="I110" s="3">
        <v>0</v>
      </c>
      <c r="J110" s="3"/>
      <c r="K110" s="3">
        <v>0</v>
      </c>
      <c r="L110" s="3"/>
      <c r="M110" s="3">
        <v>0</v>
      </c>
      <c r="N110" s="3"/>
      <c r="O110" s="3">
        <v>5091378</v>
      </c>
      <c r="P110" s="3"/>
      <c r="Q110" s="3">
        <v>7342135</v>
      </c>
      <c r="R110" s="3"/>
      <c r="S110" s="3">
        <v>115839</v>
      </c>
      <c r="T110" s="3"/>
      <c r="U110" s="3">
        <v>715069</v>
      </c>
      <c r="V110" s="3"/>
      <c r="W110" s="3">
        <v>452745</v>
      </c>
      <c r="X110" s="3"/>
      <c r="Y110" s="3">
        <v>71227</v>
      </c>
      <c r="Z110" s="3"/>
      <c r="AA110" s="3">
        <v>416607</v>
      </c>
      <c r="AB110" s="3"/>
      <c r="AC110" s="3" t="s">
        <v>165</v>
      </c>
      <c r="AE110" s="3" t="s">
        <v>327</v>
      </c>
      <c r="AF110" s="3"/>
      <c r="AG110" s="3">
        <v>223660</v>
      </c>
      <c r="AH110" s="3"/>
      <c r="AI110" s="3">
        <v>104830</v>
      </c>
      <c r="AJ110" s="3"/>
      <c r="AK110" s="3"/>
      <c r="AL110" s="3"/>
      <c r="AM110" s="3">
        <v>0</v>
      </c>
      <c r="AN110" s="3"/>
      <c r="AO110" s="3">
        <v>50342</v>
      </c>
      <c r="AP110" s="3"/>
      <c r="AQ110" s="3">
        <v>0</v>
      </c>
      <c r="AR110" s="3"/>
      <c r="AS110" s="3">
        <v>22430</v>
      </c>
      <c r="AT110" s="3"/>
      <c r="AU110" s="3">
        <v>2958838</v>
      </c>
      <c r="AV110" s="3"/>
      <c r="AW110" s="3">
        <v>170354</v>
      </c>
      <c r="AX110" s="3"/>
      <c r="AY110" s="3">
        <v>38970</v>
      </c>
      <c r="AZ110" s="3"/>
      <c r="BA110" s="3">
        <v>0</v>
      </c>
      <c r="BB110" s="3"/>
      <c r="BC110" s="14">
        <f t="shared" si="4"/>
        <v>25558203</v>
      </c>
      <c r="BD110" s="3" t="s">
        <v>165</v>
      </c>
      <c r="BF110" s="3" t="s">
        <v>327</v>
      </c>
      <c r="BG110" s="3"/>
      <c r="BH110" s="3">
        <v>0</v>
      </c>
      <c r="BI110" s="3"/>
      <c r="BJ110" s="3">
        <v>0</v>
      </c>
      <c r="BK110" s="3"/>
      <c r="BL110" s="3">
        <v>0</v>
      </c>
      <c r="BM110" s="3"/>
      <c r="BN110" s="3">
        <v>0</v>
      </c>
      <c r="BO110" s="3"/>
      <c r="BP110" s="14">
        <f t="shared" si="3"/>
        <v>25558203</v>
      </c>
      <c r="BQ110" s="3"/>
      <c r="BR110" s="14">
        <f>GovRev!AT110-BP110</f>
        <v>107439</v>
      </c>
      <c r="BS110" s="3"/>
      <c r="BT110" s="3">
        <v>1403405</v>
      </c>
      <c r="BU110" s="3"/>
      <c r="BV110" s="3">
        <v>0</v>
      </c>
      <c r="BW110" s="3"/>
      <c r="BX110" s="14">
        <f t="shared" si="7"/>
        <v>1510844</v>
      </c>
      <c r="BY110" s="14"/>
      <c r="BZ110" s="14">
        <f>-BX110+GovBS!AC110</f>
        <v>0</v>
      </c>
    </row>
    <row r="111" spans="1:78" s="13" customFormat="1">
      <c r="A111" s="3" t="s">
        <v>314</v>
      </c>
      <c r="C111" s="3" t="s">
        <v>262</v>
      </c>
      <c r="E111" s="3">
        <v>228258</v>
      </c>
      <c r="F111" s="3"/>
      <c r="G111" s="3">
        <v>2402772</v>
      </c>
      <c r="H111" s="3"/>
      <c r="I111" s="3">
        <v>0</v>
      </c>
      <c r="J111" s="3"/>
      <c r="K111" s="3">
        <v>45152</v>
      </c>
      <c r="L111" s="3"/>
      <c r="M111" s="3">
        <v>0</v>
      </c>
      <c r="N111" s="3"/>
      <c r="O111" s="3">
        <v>1769288</v>
      </c>
      <c r="P111" s="3"/>
      <c r="Q111" s="3">
        <v>2484436</v>
      </c>
      <c r="R111" s="3"/>
      <c r="S111" s="3">
        <v>40253</v>
      </c>
      <c r="T111" s="3"/>
      <c r="U111" s="3">
        <v>774211</v>
      </c>
      <c r="V111" s="3"/>
      <c r="W111" s="3">
        <v>284505</v>
      </c>
      <c r="X111" s="3"/>
      <c r="Y111" s="3">
        <v>0</v>
      </c>
      <c r="Z111" s="3"/>
      <c r="AA111" s="3">
        <v>72016</v>
      </c>
      <c r="AB111" s="3"/>
      <c r="AC111" s="3" t="s">
        <v>314</v>
      </c>
      <c r="AE111" s="3" t="s">
        <v>262</v>
      </c>
      <c r="AF111" s="3"/>
      <c r="AG111" s="3">
        <v>13665</v>
      </c>
      <c r="AH111" s="3"/>
      <c r="AI111" s="3">
        <v>32252</v>
      </c>
      <c r="AJ111" s="3"/>
      <c r="AK111" s="3"/>
      <c r="AL111" s="3"/>
      <c r="AM111" s="3">
        <v>0</v>
      </c>
      <c r="AN111" s="3"/>
      <c r="AO111" s="3">
        <v>2879</v>
      </c>
      <c r="AP111" s="3"/>
      <c r="AQ111" s="3">
        <v>55141</v>
      </c>
      <c r="AR111" s="3"/>
      <c r="AS111" s="3">
        <v>24274</v>
      </c>
      <c r="AT111" s="3"/>
      <c r="AU111" s="3">
        <v>124603</v>
      </c>
      <c r="AV111" s="3"/>
      <c r="AW111" s="3">
        <v>6837</v>
      </c>
      <c r="AX111" s="3"/>
      <c r="AY111" s="3">
        <v>1255</v>
      </c>
      <c r="AZ111" s="3"/>
      <c r="BA111" s="3">
        <v>0</v>
      </c>
      <c r="BB111" s="3"/>
      <c r="BC111" s="14">
        <f t="shared" si="4"/>
        <v>8361797</v>
      </c>
      <c r="BD111" s="3" t="s">
        <v>314</v>
      </c>
      <c r="BF111" s="3" t="s">
        <v>262</v>
      </c>
      <c r="BG111" s="3"/>
      <c r="BH111" s="3">
        <v>30448</v>
      </c>
      <c r="BI111" s="3"/>
      <c r="BJ111" s="3">
        <v>0</v>
      </c>
      <c r="BK111" s="3"/>
      <c r="BL111" s="3">
        <v>0</v>
      </c>
      <c r="BM111" s="3"/>
      <c r="BN111" s="3">
        <v>0</v>
      </c>
      <c r="BO111" s="3"/>
      <c r="BP111" s="14">
        <f t="shared" si="3"/>
        <v>8392245</v>
      </c>
      <c r="BQ111" s="3"/>
      <c r="BR111" s="14">
        <f>GovRev!AT111-BP111</f>
        <v>-23547</v>
      </c>
      <c r="BS111" s="3"/>
      <c r="BT111" s="3">
        <v>1296499</v>
      </c>
      <c r="BU111" s="3"/>
      <c r="BV111" s="3">
        <v>0</v>
      </c>
      <c r="BW111" s="3"/>
      <c r="BX111" s="14">
        <f t="shared" si="7"/>
        <v>1272952</v>
      </c>
      <c r="BY111" s="14"/>
      <c r="BZ111" s="14">
        <f>-BX111+GovBS!AC111</f>
        <v>0</v>
      </c>
    </row>
    <row r="112" spans="1:78" s="13" customFormat="1" hidden="1">
      <c r="A112" s="3" t="s">
        <v>364</v>
      </c>
      <c r="C112" s="13" t="s">
        <v>186</v>
      </c>
      <c r="E112" s="3">
        <v>0</v>
      </c>
      <c r="F112" s="3"/>
      <c r="G112" s="3">
        <v>0</v>
      </c>
      <c r="H112" s="3"/>
      <c r="I112" s="3">
        <v>0</v>
      </c>
      <c r="J112" s="3"/>
      <c r="K112" s="3">
        <v>0</v>
      </c>
      <c r="L112" s="3"/>
      <c r="M112" s="3">
        <v>0</v>
      </c>
      <c r="N112" s="3"/>
      <c r="O112" s="3">
        <v>0</v>
      </c>
      <c r="P112" s="3"/>
      <c r="Q112" s="3">
        <v>0</v>
      </c>
      <c r="R112" s="3"/>
      <c r="S112" s="3">
        <v>0</v>
      </c>
      <c r="T112" s="3"/>
      <c r="U112" s="3">
        <v>0</v>
      </c>
      <c r="V112" s="3"/>
      <c r="W112" s="3">
        <v>0</v>
      </c>
      <c r="X112" s="3"/>
      <c r="Y112" s="3">
        <v>0</v>
      </c>
      <c r="Z112" s="3"/>
      <c r="AA112" s="3">
        <v>0</v>
      </c>
      <c r="AB112" s="3"/>
      <c r="AC112" s="3" t="s">
        <v>364</v>
      </c>
      <c r="AE112" s="13" t="s">
        <v>186</v>
      </c>
      <c r="AF112" s="3"/>
      <c r="AG112" s="3">
        <v>0</v>
      </c>
      <c r="AH112" s="3"/>
      <c r="AI112" s="3">
        <v>0</v>
      </c>
      <c r="AJ112" s="3"/>
      <c r="AK112" s="3"/>
      <c r="AL112" s="3"/>
      <c r="AM112" s="3">
        <v>0</v>
      </c>
      <c r="AN112" s="3"/>
      <c r="AO112" s="3">
        <v>0</v>
      </c>
      <c r="AP112" s="3"/>
      <c r="AQ112" s="3">
        <v>0</v>
      </c>
      <c r="AR112" s="3"/>
      <c r="AS112" s="3">
        <v>0</v>
      </c>
      <c r="AT112" s="3"/>
      <c r="AU112" s="3">
        <v>0</v>
      </c>
      <c r="AV112" s="3"/>
      <c r="AW112" s="3">
        <v>0</v>
      </c>
      <c r="AX112" s="3"/>
      <c r="AY112" s="3">
        <v>0</v>
      </c>
      <c r="AZ112" s="3"/>
      <c r="BA112" s="3">
        <v>0</v>
      </c>
      <c r="BB112" s="3"/>
      <c r="BC112" s="14">
        <f t="shared" si="4"/>
        <v>0</v>
      </c>
      <c r="BD112" s="3" t="s">
        <v>364</v>
      </c>
      <c r="BF112" s="13" t="s">
        <v>186</v>
      </c>
      <c r="BG112" s="3"/>
      <c r="BH112" s="3">
        <v>0</v>
      </c>
      <c r="BI112" s="3"/>
      <c r="BJ112" s="3">
        <v>0</v>
      </c>
      <c r="BK112" s="3"/>
      <c r="BL112" s="3">
        <v>0</v>
      </c>
      <c r="BM112" s="3"/>
      <c r="BN112" s="3">
        <v>0</v>
      </c>
      <c r="BO112" s="3"/>
      <c r="BP112" s="14">
        <f t="shared" si="3"/>
        <v>0</v>
      </c>
      <c r="BQ112" s="3"/>
      <c r="BR112" s="14">
        <f>GovRev!AT112-BP112</f>
        <v>0</v>
      </c>
      <c r="BS112" s="3"/>
      <c r="BT112" s="3"/>
      <c r="BU112" s="3"/>
      <c r="BV112" s="3">
        <v>0</v>
      </c>
      <c r="BW112" s="3"/>
      <c r="BX112" s="14">
        <f t="shared" si="7"/>
        <v>0</v>
      </c>
      <c r="BY112" s="14"/>
      <c r="BZ112" s="14">
        <f>-BX112+GovBS!AC112</f>
        <v>0</v>
      </c>
    </row>
    <row r="113" spans="1:78" s="13" customFormat="1">
      <c r="A113" s="3" t="s">
        <v>338</v>
      </c>
      <c r="C113" s="13" t="s">
        <v>187</v>
      </c>
      <c r="E113" s="3">
        <v>64588</v>
      </c>
      <c r="F113" s="3"/>
      <c r="G113" s="3">
        <v>355947</v>
      </c>
      <c r="H113" s="3"/>
      <c r="I113" s="3">
        <v>0</v>
      </c>
      <c r="J113" s="3"/>
      <c r="K113" s="3">
        <v>61757</v>
      </c>
      <c r="L113" s="3"/>
      <c r="M113" s="3">
        <v>26423</v>
      </c>
      <c r="N113" s="3"/>
      <c r="O113" s="3">
        <v>1948909</v>
      </c>
      <c r="P113" s="3"/>
      <c r="Q113" s="3">
        <v>553247</v>
      </c>
      <c r="R113" s="3"/>
      <c r="S113" s="3">
        <v>37358</v>
      </c>
      <c r="T113" s="3"/>
      <c r="U113" s="3">
        <v>375581</v>
      </c>
      <c r="V113" s="3"/>
      <c r="W113" s="3">
        <v>152815</v>
      </c>
      <c r="X113" s="3"/>
      <c r="Y113" s="3">
        <v>18747</v>
      </c>
      <c r="Z113" s="3"/>
      <c r="AA113" s="3">
        <v>137218</v>
      </c>
      <c r="AB113" s="3"/>
      <c r="AC113" s="3" t="s">
        <v>338</v>
      </c>
      <c r="AE113" s="13" t="s">
        <v>187</v>
      </c>
      <c r="AF113" s="3"/>
      <c r="AG113" s="3">
        <v>168836</v>
      </c>
      <c r="AH113" s="3"/>
      <c r="AI113" s="3">
        <v>172608</v>
      </c>
      <c r="AJ113" s="3"/>
      <c r="AK113" s="3"/>
      <c r="AL113" s="3"/>
      <c r="AM113" s="3">
        <v>0</v>
      </c>
      <c r="AN113" s="3"/>
      <c r="AO113" s="3">
        <v>3144</v>
      </c>
      <c r="AP113" s="3"/>
      <c r="AQ113" s="3">
        <v>0</v>
      </c>
      <c r="AR113" s="3"/>
      <c r="AS113" s="3">
        <v>23094</v>
      </c>
      <c r="AT113" s="3"/>
      <c r="AU113" s="3">
        <v>0</v>
      </c>
      <c r="AV113" s="3"/>
      <c r="AW113" s="3">
        <v>0</v>
      </c>
      <c r="AX113" s="3"/>
      <c r="AY113" s="3">
        <v>0</v>
      </c>
      <c r="AZ113" s="3"/>
      <c r="BA113" s="3">
        <v>0</v>
      </c>
      <c r="BB113" s="3"/>
      <c r="BC113" s="14">
        <f t="shared" si="4"/>
        <v>4100272</v>
      </c>
      <c r="BD113" s="3" t="s">
        <v>338</v>
      </c>
      <c r="BF113" s="13" t="s">
        <v>187</v>
      </c>
      <c r="BG113" s="3"/>
      <c r="BH113" s="3">
        <v>59</v>
      </c>
      <c r="BI113" s="3"/>
      <c r="BJ113" s="3">
        <v>0</v>
      </c>
      <c r="BK113" s="3"/>
      <c r="BL113" s="3">
        <v>0</v>
      </c>
      <c r="BM113" s="3"/>
      <c r="BN113" s="3">
        <v>0</v>
      </c>
      <c r="BO113" s="3"/>
      <c r="BP113" s="14">
        <f t="shared" ref="BP113:BP130" si="10">+BC113+BH113+BJ113+BN113+BL113</f>
        <v>4100331</v>
      </c>
      <c r="BQ113" s="3"/>
      <c r="BR113" s="14">
        <f>GovRev!AT113-BP113</f>
        <v>-25450</v>
      </c>
      <c r="BS113" s="3"/>
      <c r="BT113" s="3">
        <v>535678</v>
      </c>
      <c r="BU113" s="3"/>
      <c r="BV113" s="3">
        <v>0</v>
      </c>
      <c r="BW113" s="3"/>
      <c r="BX113" s="14">
        <f t="shared" si="7"/>
        <v>510228</v>
      </c>
      <c r="BY113" s="14"/>
      <c r="BZ113" s="14">
        <f>-BX113+GovBS!AC113</f>
        <v>0</v>
      </c>
    </row>
    <row r="114" spans="1:78" s="13" customFormat="1">
      <c r="A114" s="3" t="s">
        <v>329</v>
      </c>
      <c r="C114" s="13" t="s">
        <v>188</v>
      </c>
      <c r="E114" s="3">
        <v>178070</v>
      </c>
      <c r="F114" s="3"/>
      <c r="G114" s="3">
        <v>1483269</v>
      </c>
      <c r="H114" s="3"/>
      <c r="I114" s="3">
        <v>0</v>
      </c>
      <c r="J114" s="3"/>
      <c r="K114" s="3">
        <v>0</v>
      </c>
      <c r="L114" s="3"/>
      <c r="M114" s="3">
        <v>57994</v>
      </c>
      <c r="N114" s="3"/>
      <c r="O114" s="3">
        <v>1832796</v>
      </c>
      <c r="P114" s="3"/>
      <c r="Q114" s="3">
        <v>2180961</v>
      </c>
      <c r="R114" s="3"/>
      <c r="S114" s="3">
        <v>198717</v>
      </c>
      <c r="T114" s="3"/>
      <c r="U114" s="3">
        <v>676612</v>
      </c>
      <c r="V114" s="3"/>
      <c r="W114" s="3">
        <v>333218</v>
      </c>
      <c r="X114" s="3"/>
      <c r="Y114" s="3">
        <v>92736</v>
      </c>
      <c r="Z114" s="3"/>
      <c r="AA114" s="3">
        <v>97830</v>
      </c>
      <c r="AB114" s="3"/>
      <c r="AC114" s="3" t="s">
        <v>329</v>
      </c>
      <c r="AE114" s="13" t="s">
        <v>188</v>
      </c>
      <c r="AF114" s="3"/>
      <c r="AG114" s="3">
        <v>6934</v>
      </c>
      <c r="AH114" s="3"/>
      <c r="AI114" s="3">
        <v>0</v>
      </c>
      <c r="AJ114" s="3"/>
      <c r="AK114" s="3"/>
      <c r="AL114" s="3"/>
      <c r="AM114" s="3">
        <v>116518</v>
      </c>
      <c r="AN114" s="3"/>
      <c r="AO114" s="3">
        <v>505</v>
      </c>
      <c r="AP114" s="3"/>
      <c r="AQ114" s="3">
        <v>17623</v>
      </c>
      <c r="AR114" s="3"/>
      <c r="AS114" s="3">
        <v>0</v>
      </c>
      <c r="AT114" s="3"/>
      <c r="AU114" s="3">
        <v>0</v>
      </c>
      <c r="AV114" s="3"/>
      <c r="AW114" s="3">
        <v>6786</v>
      </c>
      <c r="AX114" s="3"/>
      <c r="AY114" s="3">
        <v>1902</v>
      </c>
      <c r="AZ114" s="3"/>
      <c r="BA114" s="3">
        <v>0</v>
      </c>
      <c r="BB114" s="3"/>
      <c r="BC114" s="14">
        <f t="shared" si="4"/>
        <v>7282471</v>
      </c>
      <c r="BD114" s="3" t="s">
        <v>329</v>
      </c>
      <c r="BF114" s="13" t="s">
        <v>188</v>
      </c>
      <c r="BG114" s="3"/>
      <c r="BH114" s="3">
        <v>0</v>
      </c>
      <c r="BI114" s="3"/>
      <c r="BJ114" s="3">
        <v>0</v>
      </c>
      <c r="BK114" s="3"/>
      <c r="BL114" s="3">
        <v>0</v>
      </c>
      <c r="BM114" s="3"/>
      <c r="BN114" s="3">
        <v>0</v>
      </c>
      <c r="BO114" s="3"/>
      <c r="BP114" s="14">
        <f t="shared" si="10"/>
        <v>7282471</v>
      </c>
      <c r="BQ114" s="3"/>
      <c r="BR114" s="14">
        <f>GovRev!AT114-BP114</f>
        <v>267733</v>
      </c>
      <c r="BS114" s="3"/>
      <c r="BT114" s="3">
        <v>220565</v>
      </c>
      <c r="BU114" s="3"/>
      <c r="BV114" s="3">
        <v>0</v>
      </c>
      <c r="BW114" s="3"/>
      <c r="BX114" s="14">
        <f t="shared" si="7"/>
        <v>488298</v>
      </c>
      <c r="BY114" s="14"/>
      <c r="BZ114" s="14">
        <f>-BX114+GovBS!AC114</f>
        <v>0</v>
      </c>
    </row>
    <row r="115" spans="1:78" s="13" customFormat="1" hidden="1">
      <c r="A115" s="13" t="s">
        <v>330</v>
      </c>
      <c r="C115" s="13" t="s">
        <v>189</v>
      </c>
      <c r="E115" s="3">
        <v>0</v>
      </c>
      <c r="F115" s="3"/>
      <c r="G115" s="3">
        <v>0</v>
      </c>
      <c r="H115" s="3"/>
      <c r="I115" s="3">
        <v>0</v>
      </c>
      <c r="J115" s="3"/>
      <c r="K115" s="3">
        <v>0</v>
      </c>
      <c r="L115" s="3"/>
      <c r="M115" s="3">
        <v>0</v>
      </c>
      <c r="N115" s="3"/>
      <c r="O115" s="3">
        <v>0</v>
      </c>
      <c r="P115" s="3"/>
      <c r="Q115" s="3">
        <v>0</v>
      </c>
      <c r="R115" s="3"/>
      <c r="S115" s="3">
        <v>0</v>
      </c>
      <c r="T115" s="3"/>
      <c r="U115" s="3">
        <v>0</v>
      </c>
      <c r="V115" s="3"/>
      <c r="W115" s="3">
        <v>0</v>
      </c>
      <c r="X115" s="3"/>
      <c r="Y115" s="3">
        <v>0</v>
      </c>
      <c r="Z115" s="3"/>
      <c r="AA115" s="3">
        <v>0</v>
      </c>
      <c r="AB115" s="3"/>
      <c r="AC115" s="13" t="s">
        <v>330</v>
      </c>
      <c r="AE115" s="13" t="s">
        <v>189</v>
      </c>
      <c r="AF115" s="3"/>
      <c r="AG115" s="3">
        <v>0</v>
      </c>
      <c r="AH115" s="3"/>
      <c r="AI115" s="3">
        <v>0</v>
      </c>
      <c r="AJ115" s="3"/>
      <c r="AK115" s="3"/>
      <c r="AL115" s="3"/>
      <c r="AM115" s="3">
        <v>0</v>
      </c>
      <c r="AN115" s="3"/>
      <c r="AO115" s="3">
        <v>0</v>
      </c>
      <c r="AP115" s="3"/>
      <c r="AQ115" s="3">
        <v>0</v>
      </c>
      <c r="AR115" s="3"/>
      <c r="AS115" s="3">
        <v>0</v>
      </c>
      <c r="AT115" s="3"/>
      <c r="AU115" s="3">
        <v>0</v>
      </c>
      <c r="AV115" s="3"/>
      <c r="AW115" s="3">
        <v>0</v>
      </c>
      <c r="AX115" s="3"/>
      <c r="AY115" s="3">
        <v>0</v>
      </c>
      <c r="AZ115" s="3"/>
      <c r="BA115" s="3"/>
      <c r="BB115" s="3"/>
      <c r="BC115" s="14">
        <f t="shared" si="4"/>
        <v>0</v>
      </c>
      <c r="BD115" s="13" t="s">
        <v>330</v>
      </c>
      <c r="BF115" s="13" t="s">
        <v>189</v>
      </c>
      <c r="BG115" s="3"/>
      <c r="BH115" s="3">
        <v>0</v>
      </c>
      <c r="BI115" s="3"/>
      <c r="BJ115" s="3">
        <v>0</v>
      </c>
      <c r="BK115" s="3"/>
      <c r="BL115" s="3">
        <v>0</v>
      </c>
      <c r="BM115" s="3"/>
      <c r="BN115" s="3">
        <v>0</v>
      </c>
      <c r="BO115" s="3"/>
      <c r="BP115" s="14">
        <f t="shared" si="10"/>
        <v>0</v>
      </c>
      <c r="BQ115" s="3"/>
      <c r="BR115" s="14">
        <f>GovRev!AT115-BP115</f>
        <v>0</v>
      </c>
      <c r="BS115" s="3"/>
      <c r="BT115" s="3"/>
      <c r="BU115" s="3"/>
      <c r="BV115" s="3"/>
      <c r="BW115" s="3"/>
      <c r="BX115" s="14">
        <f t="shared" si="7"/>
        <v>0</v>
      </c>
      <c r="BY115" s="14"/>
      <c r="BZ115" s="14">
        <f>-BX115+GovBS!AC115</f>
        <v>0</v>
      </c>
    </row>
    <row r="116" spans="1:78" s="13" customFormat="1">
      <c r="A116" s="3" t="s">
        <v>331</v>
      </c>
      <c r="C116" s="13" t="s">
        <v>190</v>
      </c>
      <c r="E116" s="3">
        <v>712227</v>
      </c>
      <c r="F116" s="3"/>
      <c r="G116" s="3">
        <v>923416</v>
      </c>
      <c r="H116" s="3"/>
      <c r="I116" s="3">
        <v>0</v>
      </c>
      <c r="J116" s="3"/>
      <c r="K116" s="3">
        <v>29825</v>
      </c>
      <c r="L116" s="3"/>
      <c r="M116" s="3">
        <v>142</v>
      </c>
      <c r="N116" s="3"/>
      <c r="O116" s="3">
        <v>911253</v>
      </c>
      <c r="P116" s="3"/>
      <c r="Q116" s="3">
        <v>1546045</v>
      </c>
      <c r="R116" s="3"/>
      <c r="S116" s="3">
        <v>30005</v>
      </c>
      <c r="T116" s="3"/>
      <c r="U116" s="3">
        <v>356237</v>
      </c>
      <c r="V116" s="3"/>
      <c r="W116" s="3">
        <v>330737</v>
      </c>
      <c r="X116" s="3"/>
      <c r="Y116" s="3">
        <v>13629</v>
      </c>
      <c r="Z116" s="3"/>
      <c r="AA116" s="3">
        <v>31462</v>
      </c>
      <c r="AB116" s="3"/>
      <c r="AC116" s="3" t="s">
        <v>331</v>
      </c>
      <c r="AE116" s="13" t="s">
        <v>190</v>
      </c>
      <c r="AF116" s="3"/>
      <c r="AG116" s="3">
        <v>105069</v>
      </c>
      <c r="AH116" s="3"/>
      <c r="AI116" s="3">
        <v>249603</v>
      </c>
      <c r="AJ116" s="3"/>
      <c r="AK116" s="3"/>
      <c r="AL116" s="3"/>
      <c r="AM116" s="3">
        <v>0</v>
      </c>
      <c r="AN116" s="3"/>
      <c r="AO116" s="3">
        <v>40669</v>
      </c>
      <c r="AP116" s="3"/>
      <c r="AQ116" s="3">
        <v>0</v>
      </c>
      <c r="AR116" s="3"/>
      <c r="AS116" s="3">
        <v>62180</v>
      </c>
      <c r="AT116" s="3"/>
      <c r="AU116" s="3">
        <v>1091904</v>
      </c>
      <c r="AV116" s="3"/>
      <c r="AW116" s="3">
        <v>68457</v>
      </c>
      <c r="AX116" s="3"/>
      <c r="AY116" s="3">
        <v>30961</v>
      </c>
      <c r="AZ116" s="3"/>
      <c r="BA116" s="3">
        <v>0</v>
      </c>
      <c r="BB116" s="3"/>
      <c r="BC116" s="14">
        <f t="shared" si="4"/>
        <v>6533821</v>
      </c>
      <c r="BD116" s="3" t="s">
        <v>331</v>
      </c>
      <c r="BF116" s="13" t="s">
        <v>190</v>
      </c>
      <c r="BG116" s="3"/>
      <c r="BH116" s="3">
        <v>0</v>
      </c>
      <c r="BI116" s="3"/>
      <c r="BJ116" s="3">
        <v>0</v>
      </c>
      <c r="BK116" s="3"/>
      <c r="BL116" s="3">
        <v>0</v>
      </c>
      <c r="BM116" s="3"/>
      <c r="BN116" s="3">
        <v>0</v>
      </c>
      <c r="BO116" s="3"/>
      <c r="BP116" s="14">
        <f t="shared" si="10"/>
        <v>6533821</v>
      </c>
      <c r="BQ116" s="3"/>
      <c r="BR116" s="14">
        <f>GovRev!AT116-BP116</f>
        <v>-221991</v>
      </c>
      <c r="BS116" s="3"/>
      <c r="BT116" s="3">
        <v>1437640</v>
      </c>
      <c r="BU116" s="3"/>
      <c r="BV116" s="3">
        <v>0</v>
      </c>
      <c r="BW116" s="3"/>
      <c r="BX116" s="14">
        <f t="shared" si="7"/>
        <v>1215649</v>
      </c>
      <c r="BY116" s="14"/>
      <c r="BZ116" s="14">
        <f>-BX116+GovBS!AC116</f>
        <v>0</v>
      </c>
    </row>
    <row r="117" spans="1:78" s="13" customFormat="1">
      <c r="A117" s="3" t="s">
        <v>332</v>
      </c>
      <c r="C117" s="13" t="s">
        <v>192</v>
      </c>
      <c r="E117" s="3">
        <v>45655</v>
      </c>
      <c r="F117" s="3"/>
      <c r="G117" s="3">
        <v>3919494</v>
      </c>
      <c r="H117" s="3"/>
      <c r="I117" s="3">
        <v>0</v>
      </c>
      <c r="J117" s="3"/>
      <c r="K117" s="3">
        <v>0</v>
      </c>
      <c r="L117" s="3"/>
      <c r="M117" s="3">
        <v>12689</v>
      </c>
      <c r="N117" s="3"/>
      <c r="O117" s="3">
        <v>1647991</v>
      </c>
      <c r="P117" s="3"/>
      <c r="Q117" s="3">
        <v>2481618</v>
      </c>
      <c r="R117" s="3"/>
      <c r="S117" s="3">
        <v>61849</v>
      </c>
      <c r="T117" s="3"/>
      <c r="U117" s="3">
        <v>930354</v>
      </c>
      <c r="V117" s="3"/>
      <c r="W117" s="3">
        <v>315096</v>
      </c>
      <c r="X117" s="3"/>
      <c r="Y117" s="3">
        <v>0</v>
      </c>
      <c r="Z117" s="3"/>
      <c r="AA117" s="3">
        <v>121506</v>
      </c>
      <c r="AB117" s="3"/>
      <c r="AC117" s="3" t="s">
        <v>332</v>
      </c>
      <c r="AE117" s="13" t="s">
        <v>192</v>
      </c>
      <c r="AF117" s="3"/>
      <c r="AG117" s="3">
        <v>0</v>
      </c>
      <c r="AH117" s="3"/>
      <c r="AI117" s="3">
        <v>40423</v>
      </c>
      <c r="AJ117" s="3"/>
      <c r="AK117" s="3"/>
      <c r="AL117" s="3"/>
      <c r="AM117" s="3">
        <v>0</v>
      </c>
      <c r="AN117" s="3"/>
      <c r="AO117" s="3">
        <v>28541</v>
      </c>
      <c r="AP117" s="3"/>
      <c r="AQ117" s="3">
        <v>0</v>
      </c>
      <c r="AR117" s="3"/>
      <c r="AS117" s="3">
        <v>0</v>
      </c>
      <c r="AT117" s="3"/>
      <c r="AU117" s="3">
        <v>0</v>
      </c>
      <c r="AV117" s="3"/>
      <c r="AW117" s="3">
        <v>0</v>
      </c>
      <c r="AX117" s="3"/>
      <c r="AY117" s="3">
        <v>0</v>
      </c>
      <c r="AZ117" s="3"/>
      <c r="BA117" s="3">
        <v>0</v>
      </c>
      <c r="BB117" s="3"/>
      <c r="BC117" s="14">
        <f t="shared" si="4"/>
        <v>9605216</v>
      </c>
      <c r="BD117" s="3" t="s">
        <v>332</v>
      </c>
      <c r="BF117" s="13" t="s">
        <v>192</v>
      </c>
      <c r="BG117" s="3"/>
      <c r="BH117" s="3">
        <v>0</v>
      </c>
      <c r="BI117" s="3"/>
      <c r="BJ117" s="3">
        <v>0</v>
      </c>
      <c r="BK117" s="3"/>
      <c r="BL117" s="3">
        <v>0</v>
      </c>
      <c r="BM117" s="3"/>
      <c r="BN117" s="3">
        <v>0</v>
      </c>
      <c r="BO117" s="3"/>
      <c r="BP117" s="14">
        <f t="shared" si="10"/>
        <v>9605216</v>
      </c>
      <c r="BQ117" s="3"/>
      <c r="BR117" s="14">
        <f>GovRev!AT117-BP117</f>
        <v>-267564</v>
      </c>
      <c r="BS117" s="3"/>
      <c r="BT117" s="3">
        <v>3053174</v>
      </c>
      <c r="BU117" s="3"/>
      <c r="BV117" s="3">
        <v>0</v>
      </c>
      <c r="BW117" s="3"/>
      <c r="BX117" s="14">
        <f t="shared" si="7"/>
        <v>2785610</v>
      </c>
      <c r="BY117" s="14"/>
      <c r="BZ117" s="14">
        <f>-BX117+GovBS!AC117</f>
        <v>0</v>
      </c>
    </row>
    <row r="118" spans="1:78" s="13" customFormat="1" hidden="1">
      <c r="A118" s="3" t="s">
        <v>306</v>
      </c>
      <c r="C118" s="13" t="s">
        <v>193</v>
      </c>
      <c r="E118" s="3">
        <v>0</v>
      </c>
      <c r="F118" s="3"/>
      <c r="G118" s="3">
        <v>0</v>
      </c>
      <c r="H118" s="3"/>
      <c r="I118" s="3">
        <v>0</v>
      </c>
      <c r="J118" s="3"/>
      <c r="K118" s="3">
        <v>0</v>
      </c>
      <c r="L118" s="3"/>
      <c r="M118" s="3">
        <v>0</v>
      </c>
      <c r="N118" s="3"/>
      <c r="O118" s="3">
        <v>0</v>
      </c>
      <c r="P118" s="3"/>
      <c r="Q118" s="3">
        <v>0</v>
      </c>
      <c r="R118" s="3"/>
      <c r="S118" s="3">
        <v>0</v>
      </c>
      <c r="T118" s="3"/>
      <c r="U118" s="3">
        <v>0</v>
      </c>
      <c r="V118" s="3"/>
      <c r="W118" s="3">
        <v>0</v>
      </c>
      <c r="X118" s="3"/>
      <c r="Y118" s="3">
        <v>0</v>
      </c>
      <c r="Z118" s="3"/>
      <c r="AA118" s="3">
        <v>0</v>
      </c>
      <c r="AB118" s="3"/>
      <c r="AC118" s="3" t="s">
        <v>306</v>
      </c>
      <c r="AE118" s="13" t="s">
        <v>193</v>
      </c>
      <c r="AF118" s="3"/>
      <c r="AG118" s="3">
        <v>0</v>
      </c>
      <c r="AH118" s="3"/>
      <c r="AI118" s="3">
        <v>0</v>
      </c>
      <c r="AJ118" s="3"/>
      <c r="AK118" s="3"/>
      <c r="AL118" s="3"/>
      <c r="AM118" s="3">
        <v>0</v>
      </c>
      <c r="AN118" s="3"/>
      <c r="AO118" s="3">
        <v>0</v>
      </c>
      <c r="AP118" s="3"/>
      <c r="AQ118" s="3">
        <v>0</v>
      </c>
      <c r="AR118" s="3"/>
      <c r="AS118" s="3">
        <v>0</v>
      </c>
      <c r="AT118" s="3"/>
      <c r="AU118" s="3">
        <v>0</v>
      </c>
      <c r="AV118" s="3"/>
      <c r="AW118" s="3">
        <v>0</v>
      </c>
      <c r="AX118" s="3"/>
      <c r="AY118" s="3">
        <v>0</v>
      </c>
      <c r="AZ118" s="3"/>
      <c r="BA118" s="3"/>
      <c r="BB118" s="3"/>
      <c r="BC118" s="14">
        <f t="shared" si="4"/>
        <v>0</v>
      </c>
      <c r="BD118" s="3" t="s">
        <v>306</v>
      </c>
      <c r="BF118" s="13" t="s">
        <v>193</v>
      </c>
      <c r="BG118" s="3"/>
      <c r="BH118" s="3">
        <v>0</v>
      </c>
      <c r="BI118" s="3"/>
      <c r="BJ118" s="3"/>
      <c r="BK118" s="3"/>
      <c r="BL118" s="3"/>
      <c r="BM118" s="3"/>
      <c r="BN118" s="3">
        <v>0</v>
      </c>
      <c r="BO118" s="3"/>
      <c r="BP118" s="14">
        <f t="shared" si="10"/>
        <v>0</v>
      </c>
      <c r="BQ118" s="3"/>
      <c r="BR118" s="14">
        <f>GovRev!AT118-BP118</f>
        <v>0</v>
      </c>
      <c r="BS118" s="3"/>
      <c r="BT118" s="3"/>
      <c r="BU118" s="3"/>
      <c r="BV118" s="3"/>
      <c r="BW118" s="3"/>
      <c r="BX118" s="14">
        <f t="shared" si="7"/>
        <v>0</v>
      </c>
      <c r="BY118" s="14"/>
      <c r="BZ118" s="14">
        <f>-BX118+GovBS!AC118</f>
        <v>0</v>
      </c>
    </row>
    <row r="119" spans="1:78" s="13" customFormat="1" hidden="1">
      <c r="A119" s="3" t="s">
        <v>376</v>
      </c>
      <c r="C119" s="13" t="s">
        <v>196</v>
      </c>
      <c r="E119" s="3">
        <v>0</v>
      </c>
      <c r="F119" s="3"/>
      <c r="G119" s="3">
        <v>0</v>
      </c>
      <c r="H119" s="3"/>
      <c r="I119" s="3">
        <v>0</v>
      </c>
      <c r="J119" s="3"/>
      <c r="K119" s="3">
        <v>0</v>
      </c>
      <c r="L119" s="3"/>
      <c r="M119" s="3">
        <v>0</v>
      </c>
      <c r="N119" s="3"/>
      <c r="O119" s="3">
        <v>0</v>
      </c>
      <c r="P119" s="3"/>
      <c r="Q119" s="3">
        <v>0</v>
      </c>
      <c r="R119" s="3"/>
      <c r="S119" s="3">
        <v>0</v>
      </c>
      <c r="T119" s="3"/>
      <c r="U119" s="3">
        <v>0</v>
      </c>
      <c r="V119" s="3"/>
      <c r="W119" s="3">
        <v>0</v>
      </c>
      <c r="X119" s="3"/>
      <c r="Y119" s="3">
        <v>0</v>
      </c>
      <c r="Z119" s="3"/>
      <c r="AA119" s="3">
        <v>0</v>
      </c>
      <c r="AB119" s="3"/>
      <c r="AC119" s="3" t="s">
        <v>376</v>
      </c>
      <c r="AE119" s="13" t="s">
        <v>196</v>
      </c>
      <c r="AF119" s="3"/>
      <c r="AG119" s="3">
        <v>0</v>
      </c>
      <c r="AH119" s="3"/>
      <c r="AI119" s="3">
        <v>0</v>
      </c>
      <c r="AJ119" s="3"/>
      <c r="AK119" s="3"/>
      <c r="AL119" s="3"/>
      <c r="AM119" s="3">
        <v>0</v>
      </c>
      <c r="AN119" s="3"/>
      <c r="AO119" s="3">
        <v>0</v>
      </c>
      <c r="AP119" s="3"/>
      <c r="AQ119" s="3">
        <v>0</v>
      </c>
      <c r="AR119" s="3"/>
      <c r="AS119" s="3">
        <v>0</v>
      </c>
      <c r="AT119" s="3"/>
      <c r="AU119" s="3">
        <v>0</v>
      </c>
      <c r="AV119" s="3"/>
      <c r="AW119" s="3">
        <v>0</v>
      </c>
      <c r="AX119" s="3"/>
      <c r="AY119" s="3">
        <v>0</v>
      </c>
      <c r="AZ119" s="3"/>
      <c r="BA119" s="3">
        <v>0</v>
      </c>
      <c r="BB119" s="3"/>
      <c r="BC119" s="14">
        <f t="shared" si="4"/>
        <v>0</v>
      </c>
      <c r="BD119" s="3" t="s">
        <v>376</v>
      </c>
      <c r="BF119" s="13" t="s">
        <v>196</v>
      </c>
      <c r="BG119" s="3"/>
      <c r="BH119" s="3">
        <v>0</v>
      </c>
      <c r="BI119" s="3"/>
      <c r="BJ119" s="3">
        <v>0</v>
      </c>
      <c r="BK119" s="3"/>
      <c r="BL119" s="3">
        <v>0</v>
      </c>
      <c r="BM119" s="3"/>
      <c r="BN119" s="3">
        <v>0</v>
      </c>
      <c r="BO119" s="3"/>
      <c r="BP119" s="14">
        <f t="shared" si="10"/>
        <v>0</v>
      </c>
      <c r="BQ119" s="3"/>
      <c r="BR119" s="14">
        <f>GovRev!AT119-BP119</f>
        <v>0</v>
      </c>
      <c r="BS119" s="3"/>
      <c r="BT119" s="3"/>
      <c r="BU119" s="3"/>
      <c r="BV119" s="3">
        <v>0</v>
      </c>
      <c r="BW119" s="3"/>
      <c r="BX119" s="14">
        <f t="shared" si="7"/>
        <v>0</v>
      </c>
      <c r="BY119" s="14"/>
      <c r="BZ119" s="14">
        <f>-BX119+GovBS!AC119</f>
        <v>0</v>
      </c>
    </row>
    <row r="120" spans="1:78" s="13" customFormat="1">
      <c r="A120" s="3" t="s">
        <v>266</v>
      </c>
      <c r="C120" s="13" t="s">
        <v>194</v>
      </c>
      <c r="E120" s="3">
        <v>510730</v>
      </c>
      <c r="F120" s="3"/>
      <c r="G120" s="3">
        <v>3842811</v>
      </c>
      <c r="H120" s="3"/>
      <c r="I120" s="3">
        <v>0</v>
      </c>
      <c r="J120" s="3"/>
      <c r="K120" s="3">
        <v>177245</v>
      </c>
      <c r="L120" s="3"/>
      <c r="M120" s="3">
        <v>0</v>
      </c>
      <c r="N120" s="3"/>
      <c r="O120" s="3">
        <v>1990396</v>
      </c>
      <c r="P120" s="3"/>
      <c r="Q120" s="3">
        <v>1306339</v>
      </c>
      <c r="R120" s="3"/>
      <c r="S120" s="3">
        <v>29552</v>
      </c>
      <c r="T120" s="3"/>
      <c r="U120" s="3">
        <v>727037</v>
      </c>
      <c r="V120" s="3"/>
      <c r="W120" s="3">
        <v>239717</v>
      </c>
      <c r="X120" s="3"/>
      <c r="Y120" s="3">
        <v>0</v>
      </c>
      <c r="Z120" s="3"/>
      <c r="AA120" s="3">
        <v>119688</v>
      </c>
      <c r="AB120" s="3"/>
      <c r="AC120" s="3" t="s">
        <v>266</v>
      </c>
      <c r="AE120" s="13" t="s">
        <v>194</v>
      </c>
      <c r="AF120" s="3"/>
      <c r="AG120" s="3">
        <v>11328</v>
      </c>
      <c r="AH120" s="3"/>
      <c r="AI120" s="3">
        <v>174897</v>
      </c>
      <c r="AJ120" s="3"/>
      <c r="AK120" s="3"/>
      <c r="AL120" s="3"/>
      <c r="AM120" s="3">
        <v>0</v>
      </c>
      <c r="AN120" s="3"/>
      <c r="AO120" s="3">
        <v>0</v>
      </c>
      <c r="AP120" s="3"/>
      <c r="AQ120" s="3">
        <v>0</v>
      </c>
      <c r="AR120" s="3"/>
      <c r="AS120" s="3">
        <v>0</v>
      </c>
      <c r="AT120" s="3"/>
      <c r="AU120" s="3">
        <v>0</v>
      </c>
      <c r="AV120" s="3"/>
      <c r="AW120" s="3">
        <v>14340</v>
      </c>
      <c r="AX120" s="3"/>
      <c r="AY120" s="3">
        <v>371</v>
      </c>
      <c r="AZ120" s="3"/>
      <c r="BA120" s="3">
        <v>0</v>
      </c>
      <c r="BB120" s="3"/>
      <c r="BC120" s="14">
        <f t="shared" si="4"/>
        <v>9144451</v>
      </c>
      <c r="BD120" s="3" t="s">
        <v>266</v>
      </c>
      <c r="BF120" s="13" t="s">
        <v>194</v>
      </c>
      <c r="BG120" s="3"/>
      <c r="BH120" s="3">
        <v>0</v>
      </c>
      <c r="BI120" s="3"/>
      <c r="BJ120" s="3">
        <v>0</v>
      </c>
      <c r="BK120" s="3"/>
      <c r="BL120" s="3">
        <v>0</v>
      </c>
      <c r="BM120" s="3"/>
      <c r="BN120" s="3">
        <v>0</v>
      </c>
      <c r="BO120" s="3"/>
      <c r="BP120" s="14">
        <f t="shared" si="10"/>
        <v>9144451</v>
      </c>
      <c r="BQ120" s="3"/>
      <c r="BR120" s="14">
        <f>GovRev!AT120-BP120</f>
        <v>121233</v>
      </c>
      <c r="BS120" s="3"/>
      <c r="BT120" s="3">
        <v>1049971</v>
      </c>
      <c r="BU120" s="3"/>
      <c r="BV120" s="3">
        <v>0</v>
      </c>
      <c r="BW120" s="3"/>
      <c r="BX120" s="14">
        <f t="shared" si="7"/>
        <v>1171204</v>
      </c>
      <c r="BY120" s="14"/>
      <c r="BZ120" s="14">
        <f>-BX120+GovBS!AC120</f>
        <v>0</v>
      </c>
    </row>
    <row r="121" spans="1:78" s="13" customFormat="1">
      <c r="A121" s="3" t="s">
        <v>265</v>
      </c>
      <c r="B121" s="3"/>
      <c r="C121" s="3" t="s">
        <v>157</v>
      </c>
      <c r="E121" s="3">
        <v>248179</v>
      </c>
      <c r="F121" s="3"/>
      <c r="G121" s="3">
        <v>567952</v>
      </c>
      <c r="H121" s="3"/>
      <c r="I121" s="3">
        <v>0</v>
      </c>
      <c r="J121" s="3"/>
      <c r="K121" s="3">
        <v>0</v>
      </c>
      <c r="L121" s="3"/>
      <c r="M121" s="3">
        <v>0</v>
      </c>
      <c r="N121" s="3"/>
      <c r="O121" s="3">
        <v>482969</v>
      </c>
      <c r="P121" s="3"/>
      <c r="Q121" s="3">
        <v>1203604</v>
      </c>
      <c r="R121" s="3"/>
      <c r="S121" s="3">
        <v>0</v>
      </c>
      <c r="T121" s="3"/>
      <c r="U121" s="3">
        <f>38466+528430</f>
        <v>566896</v>
      </c>
      <c r="V121" s="3"/>
      <c r="W121" s="3">
        <v>247332</v>
      </c>
      <c r="X121" s="3"/>
      <c r="Y121" s="3">
        <v>0</v>
      </c>
      <c r="Z121" s="3"/>
      <c r="AA121" s="3">
        <v>68773</v>
      </c>
      <c r="AB121" s="3"/>
      <c r="AC121" s="3" t="s">
        <v>265</v>
      </c>
      <c r="AD121" s="3"/>
      <c r="AE121" s="3" t="s">
        <v>157</v>
      </c>
      <c r="AF121" s="3"/>
      <c r="AG121" s="3">
        <v>0</v>
      </c>
      <c r="AH121" s="3"/>
      <c r="AI121" s="3">
        <v>304091</v>
      </c>
      <c r="AJ121" s="3"/>
      <c r="AK121" s="3"/>
      <c r="AL121" s="3"/>
      <c r="AM121" s="3">
        <v>0</v>
      </c>
      <c r="AN121" s="3"/>
      <c r="AO121" s="3">
        <v>0</v>
      </c>
      <c r="AP121" s="3"/>
      <c r="AQ121" s="3">
        <v>0</v>
      </c>
      <c r="AR121" s="3"/>
      <c r="AS121" s="3">
        <v>0</v>
      </c>
      <c r="AT121" s="3"/>
      <c r="AU121" s="3">
        <v>0</v>
      </c>
      <c r="AV121" s="3"/>
      <c r="AW121" s="3">
        <v>0</v>
      </c>
      <c r="AX121" s="3"/>
      <c r="AY121" s="3">
        <v>0</v>
      </c>
      <c r="AZ121" s="3"/>
      <c r="BA121" s="3">
        <v>0</v>
      </c>
      <c r="BB121" s="3"/>
      <c r="BC121" s="14">
        <f>SUM(E121:BA121)</f>
        <v>3689796</v>
      </c>
      <c r="BD121" s="3" t="s">
        <v>265</v>
      </c>
      <c r="BE121" s="3"/>
      <c r="BF121" s="3" t="s">
        <v>157</v>
      </c>
      <c r="BG121" s="3"/>
      <c r="BH121" s="3">
        <v>233917</v>
      </c>
      <c r="BI121" s="3"/>
      <c r="BJ121" s="3">
        <v>0</v>
      </c>
      <c r="BK121" s="3"/>
      <c r="BL121" s="3">
        <v>0</v>
      </c>
      <c r="BM121" s="3"/>
      <c r="BN121" s="3">
        <v>0</v>
      </c>
      <c r="BO121" s="3"/>
      <c r="BP121" s="14">
        <f t="shared" si="10"/>
        <v>3923713</v>
      </c>
      <c r="BQ121" s="3"/>
      <c r="BR121" s="14">
        <f>GovRev!AT121-BP121</f>
        <v>-148502</v>
      </c>
      <c r="BS121" s="3"/>
      <c r="BT121" s="3">
        <v>2662696</v>
      </c>
      <c r="BU121" s="3"/>
      <c r="BV121" s="3">
        <v>0</v>
      </c>
      <c r="BW121" s="3"/>
      <c r="BX121" s="14">
        <f t="shared" si="7"/>
        <v>2514194</v>
      </c>
      <c r="BY121" s="14"/>
      <c r="BZ121" s="14">
        <f>-BX121+GovBS!AC121</f>
        <v>0</v>
      </c>
    </row>
    <row r="122" spans="1:78" s="13" customFormat="1">
      <c r="A122" s="13" t="s">
        <v>336</v>
      </c>
      <c r="C122" s="13" t="s">
        <v>197</v>
      </c>
      <c r="E122" s="3">
        <v>110366</v>
      </c>
      <c r="F122" s="3"/>
      <c r="G122" s="3">
        <v>4996982</v>
      </c>
      <c r="H122" s="3"/>
      <c r="I122" s="3">
        <v>0</v>
      </c>
      <c r="J122" s="3"/>
      <c r="K122" s="3">
        <v>0</v>
      </c>
      <c r="L122" s="3"/>
      <c r="M122" s="3">
        <v>0</v>
      </c>
      <c r="N122" s="3"/>
      <c r="O122" s="3">
        <v>3146199</v>
      </c>
      <c r="P122" s="3"/>
      <c r="Q122" s="3">
        <v>6392624</v>
      </c>
      <c r="R122" s="3"/>
      <c r="S122" s="3">
        <v>22457</v>
      </c>
      <c r="T122" s="3"/>
      <c r="U122" s="3">
        <v>3136397</v>
      </c>
      <c r="V122" s="3"/>
      <c r="W122" s="3">
        <v>448596</v>
      </c>
      <c r="X122" s="3"/>
      <c r="Y122" s="3">
        <v>672117</v>
      </c>
      <c r="Z122" s="3"/>
      <c r="AA122" s="3">
        <v>216920</v>
      </c>
      <c r="AB122" s="3"/>
      <c r="AC122" s="13" t="s">
        <v>336</v>
      </c>
      <c r="AE122" s="13" t="s">
        <v>197</v>
      </c>
      <c r="AF122" s="3"/>
      <c r="AG122" s="3">
        <v>0</v>
      </c>
      <c r="AH122" s="3"/>
      <c r="AI122" s="3">
        <v>40084</v>
      </c>
      <c r="AJ122" s="3"/>
      <c r="AK122" s="3"/>
      <c r="AL122" s="3"/>
      <c r="AM122" s="3">
        <v>39874</v>
      </c>
      <c r="AN122" s="3"/>
      <c r="AO122" s="3">
        <v>20000</v>
      </c>
      <c r="AP122" s="3"/>
      <c r="AQ122" s="3">
        <v>0</v>
      </c>
      <c r="AR122" s="3"/>
      <c r="AS122" s="3">
        <v>0</v>
      </c>
      <c r="AT122" s="3"/>
      <c r="AU122" s="3">
        <v>0</v>
      </c>
      <c r="AV122" s="3"/>
      <c r="AW122" s="3">
        <v>0</v>
      </c>
      <c r="AX122" s="3"/>
      <c r="AY122" s="3">
        <v>0</v>
      </c>
      <c r="AZ122" s="3"/>
      <c r="BA122" s="3">
        <v>0</v>
      </c>
      <c r="BB122" s="3"/>
      <c r="BC122" s="14">
        <f t="shared" si="4"/>
        <v>19242616</v>
      </c>
      <c r="BD122" s="13" t="s">
        <v>336</v>
      </c>
      <c r="BF122" s="13" t="s">
        <v>197</v>
      </c>
      <c r="BG122" s="3"/>
      <c r="BH122" s="3">
        <v>0</v>
      </c>
      <c r="BI122" s="3"/>
      <c r="BJ122" s="3">
        <v>0</v>
      </c>
      <c r="BK122" s="3"/>
      <c r="BL122" s="3">
        <v>0</v>
      </c>
      <c r="BM122" s="3"/>
      <c r="BN122" s="3">
        <v>0</v>
      </c>
      <c r="BO122" s="3"/>
      <c r="BP122" s="14">
        <f t="shared" si="10"/>
        <v>19242616</v>
      </c>
      <c r="BQ122" s="3"/>
      <c r="BR122" s="14">
        <f>GovRev!AT122-BP122</f>
        <v>-86554</v>
      </c>
      <c r="BS122" s="3"/>
      <c r="BT122" s="3">
        <v>337322</v>
      </c>
      <c r="BU122" s="3"/>
      <c r="BV122" s="3">
        <v>0</v>
      </c>
      <c r="BW122" s="3"/>
      <c r="BX122" s="14">
        <f t="shared" si="7"/>
        <v>250768</v>
      </c>
      <c r="BY122" s="14"/>
      <c r="BZ122" s="14">
        <f>-BX122+GovBS!AC122</f>
        <v>0</v>
      </c>
    </row>
    <row r="123" spans="1:78" s="13" customFormat="1">
      <c r="A123" s="3" t="s">
        <v>337</v>
      </c>
      <c r="C123" s="13" t="s">
        <v>198</v>
      </c>
      <c r="E123" s="3">
        <v>873398</v>
      </c>
      <c r="F123" s="3"/>
      <c r="G123" s="3">
        <v>5755354</v>
      </c>
      <c r="H123" s="3"/>
      <c r="I123" s="3">
        <v>75510</v>
      </c>
      <c r="J123" s="3"/>
      <c r="K123" s="3">
        <v>0</v>
      </c>
      <c r="L123" s="3"/>
      <c r="M123" s="3">
        <v>0</v>
      </c>
      <c r="N123" s="3"/>
      <c r="O123" s="3">
        <v>3658288</v>
      </c>
      <c r="P123" s="3"/>
      <c r="Q123" s="3">
        <v>4693692</v>
      </c>
      <c r="R123" s="3"/>
      <c r="S123" s="3">
        <v>68640</v>
      </c>
      <c r="T123" s="3"/>
      <c r="U123" s="3">
        <v>619275</v>
      </c>
      <c r="V123" s="3"/>
      <c r="W123" s="3">
        <v>467530</v>
      </c>
      <c r="X123" s="3"/>
      <c r="Y123" s="3">
        <v>56875</v>
      </c>
      <c r="Z123" s="3"/>
      <c r="AA123" s="3">
        <v>449129</v>
      </c>
      <c r="AB123" s="3"/>
      <c r="AC123" s="3" t="s">
        <v>337</v>
      </c>
      <c r="AE123" s="13" t="s">
        <v>198</v>
      </c>
      <c r="AF123" s="3"/>
      <c r="AG123" s="3">
        <v>0</v>
      </c>
      <c r="AH123" s="3"/>
      <c r="AI123" s="3">
        <v>199228</v>
      </c>
      <c r="AJ123" s="3"/>
      <c r="AK123" s="3"/>
      <c r="AL123" s="3"/>
      <c r="AM123" s="3">
        <v>0</v>
      </c>
      <c r="AN123" s="3"/>
      <c r="AO123" s="3">
        <v>0</v>
      </c>
      <c r="AP123" s="3"/>
      <c r="AQ123" s="3">
        <v>57782</v>
      </c>
      <c r="AR123" s="3"/>
      <c r="AS123" s="3">
        <v>0</v>
      </c>
      <c r="AT123" s="3"/>
      <c r="AU123" s="3">
        <v>0</v>
      </c>
      <c r="AV123" s="3"/>
      <c r="AW123" s="3">
        <v>69460</v>
      </c>
      <c r="AX123" s="3"/>
      <c r="AY123" s="3">
        <v>40472</v>
      </c>
      <c r="AZ123" s="3"/>
      <c r="BA123" s="3">
        <v>0</v>
      </c>
      <c r="BB123" s="3"/>
      <c r="BC123" s="14">
        <f t="shared" si="4"/>
        <v>17084633</v>
      </c>
      <c r="BD123" s="3" t="s">
        <v>337</v>
      </c>
      <c r="BF123" s="13" t="s">
        <v>198</v>
      </c>
      <c r="BG123" s="3"/>
      <c r="BH123" s="3">
        <v>0</v>
      </c>
      <c r="BI123" s="3"/>
      <c r="BJ123" s="3">
        <v>0</v>
      </c>
      <c r="BK123" s="3"/>
      <c r="BL123" s="3">
        <v>0</v>
      </c>
      <c r="BM123" s="3"/>
      <c r="BN123" s="3">
        <v>0</v>
      </c>
      <c r="BO123" s="3"/>
      <c r="BP123" s="14">
        <f t="shared" si="10"/>
        <v>17084633</v>
      </c>
      <c r="BQ123" s="3"/>
      <c r="BR123" s="14">
        <f>GovRev!AT123-BP123</f>
        <v>-1784586</v>
      </c>
      <c r="BS123" s="3"/>
      <c r="BT123" s="3">
        <v>6001525</v>
      </c>
      <c r="BU123" s="3"/>
      <c r="BV123" s="3">
        <v>0</v>
      </c>
      <c r="BW123" s="3"/>
      <c r="BX123" s="14">
        <f t="shared" si="7"/>
        <v>4216939</v>
      </c>
      <c r="BY123" s="14"/>
      <c r="BZ123" s="14">
        <f>-BX123+GovBS!AC123</f>
        <v>0</v>
      </c>
    </row>
    <row r="124" spans="1:78" s="13" customFormat="1" hidden="1">
      <c r="A124" s="3" t="s">
        <v>362</v>
      </c>
      <c r="C124" s="13" t="s">
        <v>205</v>
      </c>
      <c r="E124" s="3">
        <v>0</v>
      </c>
      <c r="F124" s="3"/>
      <c r="G124" s="3">
        <v>0</v>
      </c>
      <c r="H124" s="3"/>
      <c r="I124" s="3">
        <v>0</v>
      </c>
      <c r="J124" s="3"/>
      <c r="K124" s="3">
        <v>0</v>
      </c>
      <c r="L124" s="3"/>
      <c r="M124" s="3">
        <v>0</v>
      </c>
      <c r="N124" s="3"/>
      <c r="O124" s="3">
        <v>0</v>
      </c>
      <c r="P124" s="3"/>
      <c r="Q124" s="3">
        <v>0</v>
      </c>
      <c r="R124" s="3"/>
      <c r="S124" s="3">
        <v>0</v>
      </c>
      <c r="T124" s="3"/>
      <c r="U124" s="3">
        <v>0</v>
      </c>
      <c r="V124" s="3"/>
      <c r="W124" s="3">
        <v>0</v>
      </c>
      <c r="X124" s="3"/>
      <c r="Y124" s="3">
        <v>0</v>
      </c>
      <c r="Z124" s="3"/>
      <c r="AA124" s="3">
        <v>0</v>
      </c>
      <c r="AB124" s="3"/>
      <c r="AC124" s="3" t="s">
        <v>362</v>
      </c>
      <c r="AE124" s="13" t="s">
        <v>205</v>
      </c>
      <c r="AF124" s="3"/>
      <c r="AG124" s="3">
        <v>0</v>
      </c>
      <c r="AH124" s="3"/>
      <c r="AI124" s="3">
        <v>0</v>
      </c>
      <c r="AJ124" s="3"/>
      <c r="AK124" s="3"/>
      <c r="AL124" s="3"/>
      <c r="AM124" s="3">
        <v>0</v>
      </c>
      <c r="AN124" s="3"/>
      <c r="AO124" s="3">
        <v>0</v>
      </c>
      <c r="AP124" s="3"/>
      <c r="AQ124" s="3">
        <v>0</v>
      </c>
      <c r="AR124" s="3"/>
      <c r="AS124" s="3">
        <v>0</v>
      </c>
      <c r="AT124" s="3"/>
      <c r="AU124" s="3">
        <v>0</v>
      </c>
      <c r="AV124" s="3"/>
      <c r="AW124" s="3">
        <v>0</v>
      </c>
      <c r="AX124" s="3"/>
      <c r="AY124" s="3">
        <v>0</v>
      </c>
      <c r="AZ124" s="3"/>
      <c r="BA124" s="3">
        <v>0</v>
      </c>
      <c r="BB124" s="3"/>
      <c r="BC124" s="14">
        <f t="shared" si="4"/>
        <v>0</v>
      </c>
      <c r="BD124" s="3" t="s">
        <v>362</v>
      </c>
      <c r="BF124" s="13" t="s">
        <v>205</v>
      </c>
      <c r="BG124" s="3"/>
      <c r="BH124" s="3">
        <v>0</v>
      </c>
      <c r="BI124" s="3"/>
      <c r="BJ124" s="3">
        <v>0</v>
      </c>
      <c r="BK124" s="3"/>
      <c r="BL124" s="3">
        <v>0</v>
      </c>
      <c r="BM124" s="3"/>
      <c r="BN124" s="3">
        <v>0</v>
      </c>
      <c r="BO124" s="3"/>
      <c r="BP124" s="14">
        <f t="shared" si="10"/>
        <v>0</v>
      </c>
      <c r="BQ124" s="3"/>
      <c r="BR124" s="14">
        <f>GovRev!AT124-BP124</f>
        <v>0</v>
      </c>
      <c r="BS124" s="3"/>
      <c r="BT124" s="3"/>
      <c r="BU124" s="3"/>
      <c r="BV124" s="3">
        <v>0</v>
      </c>
      <c r="BW124" s="3"/>
      <c r="BX124" s="14">
        <f t="shared" si="7"/>
        <v>0</v>
      </c>
      <c r="BY124" s="14"/>
      <c r="BZ124" s="14">
        <f>-BX124+GovBS!AC124</f>
        <v>0</v>
      </c>
    </row>
    <row r="125" spans="1:78" s="13" customFormat="1">
      <c r="A125" s="3" t="s">
        <v>339</v>
      </c>
      <c r="C125" s="13" t="s">
        <v>199</v>
      </c>
      <c r="E125" s="3">
        <v>518739</v>
      </c>
      <c r="F125" s="3"/>
      <c r="G125" s="3">
        <v>6255508</v>
      </c>
      <c r="H125" s="3"/>
      <c r="I125" s="3">
        <v>0</v>
      </c>
      <c r="J125" s="3"/>
      <c r="K125" s="3">
        <v>0</v>
      </c>
      <c r="L125" s="3"/>
      <c r="M125" s="3">
        <v>0</v>
      </c>
      <c r="N125" s="3"/>
      <c r="O125" s="3">
        <v>4296760</v>
      </c>
      <c r="P125" s="3"/>
      <c r="Q125" s="3">
        <v>2226523</v>
      </c>
      <c r="R125" s="3"/>
      <c r="S125" s="3">
        <v>77691</v>
      </c>
      <c r="T125" s="3"/>
      <c r="U125" s="3">
        <v>2397145</v>
      </c>
      <c r="V125" s="3"/>
      <c r="W125" s="3">
        <v>336032</v>
      </c>
      <c r="X125" s="3"/>
      <c r="Y125" s="3">
        <v>24238</v>
      </c>
      <c r="Z125" s="3"/>
      <c r="AA125" s="3">
        <v>203722</v>
      </c>
      <c r="AB125" s="3"/>
      <c r="AC125" s="3" t="s">
        <v>339</v>
      </c>
      <c r="AE125" s="13" t="s">
        <v>199</v>
      </c>
      <c r="AF125" s="3"/>
      <c r="AG125" s="3">
        <v>25273</v>
      </c>
      <c r="AH125" s="3"/>
      <c r="AI125" s="3">
        <v>0</v>
      </c>
      <c r="AJ125" s="3"/>
      <c r="AK125" s="3"/>
      <c r="AL125" s="3"/>
      <c r="AM125" s="3">
        <v>0</v>
      </c>
      <c r="AN125" s="3"/>
      <c r="AO125" s="3">
        <v>0</v>
      </c>
      <c r="AP125" s="3"/>
      <c r="AQ125" s="3">
        <v>0</v>
      </c>
      <c r="AR125" s="3"/>
      <c r="AS125" s="3">
        <v>0</v>
      </c>
      <c r="AT125" s="3"/>
      <c r="AU125" s="3">
        <v>0</v>
      </c>
      <c r="AV125" s="3"/>
      <c r="AW125" s="3">
        <v>7735</v>
      </c>
      <c r="AX125" s="3"/>
      <c r="AY125" s="3">
        <v>1745</v>
      </c>
      <c r="AZ125" s="3"/>
      <c r="BA125" s="3">
        <v>0</v>
      </c>
      <c r="BB125" s="3"/>
      <c r="BC125" s="14">
        <f t="shared" si="4"/>
        <v>16371111</v>
      </c>
      <c r="BD125" s="3" t="s">
        <v>339</v>
      </c>
      <c r="BF125" s="13" t="s">
        <v>199</v>
      </c>
      <c r="BG125" s="3"/>
      <c r="BH125" s="3">
        <v>0</v>
      </c>
      <c r="BI125" s="3"/>
      <c r="BJ125" s="3">
        <v>0</v>
      </c>
      <c r="BK125" s="3"/>
      <c r="BL125" s="3">
        <v>0</v>
      </c>
      <c r="BM125" s="3"/>
      <c r="BN125" s="3">
        <v>0</v>
      </c>
      <c r="BO125" s="3"/>
      <c r="BP125" s="14">
        <f t="shared" si="10"/>
        <v>16371111</v>
      </c>
      <c r="BQ125" s="3"/>
      <c r="BR125" s="14">
        <f>GovRev!AT125-BP125</f>
        <v>324365</v>
      </c>
      <c r="BS125" s="3"/>
      <c r="BT125" s="3">
        <v>4276522</v>
      </c>
      <c r="BU125" s="3"/>
      <c r="BV125" s="3">
        <v>0</v>
      </c>
      <c r="BW125" s="3"/>
      <c r="BX125" s="14">
        <f t="shared" si="7"/>
        <v>4600887</v>
      </c>
      <c r="BY125" s="14"/>
      <c r="BZ125" s="14">
        <f>-BX125+GovBS!AC125</f>
        <v>0</v>
      </c>
    </row>
    <row r="126" spans="1:78" s="13" customFormat="1" hidden="1">
      <c r="A126" s="3" t="s">
        <v>307</v>
      </c>
      <c r="C126" s="13" t="s">
        <v>200</v>
      </c>
      <c r="E126" s="3">
        <v>0</v>
      </c>
      <c r="F126" s="3"/>
      <c r="G126" s="3">
        <v>0</v>
      </c>
      <c r="H126" s="3"/>
      <c r="I126" s="3">
        <v>0</v>
      </c>
      <c r="J126" s="3"/>
      <c r="K126" s="3">
        <v>0</v>
      </c>
      <c r="L126" s="3"/>
      <c r="M126" s="3">
        <v>0</v>
      </c>
      <c r="N126" s="3"/>
      <c r="O126" s="3">
        <v>0</v>
      </c>
      <c r="P126" s="3"/>
      <c r="Q126" s="3">
        <v>0</v>
      </c>
      <c r="R126" s="3"/>
      <c r="S126" s="3">
        <v>0</v>
      </c>
      <c r="T126" s="3"/>
      <c r="U126" s="3">
        <v>0</v>
      </c>
      <c r="V126" s="3"/>
      <c r="W126" s="3">
        <v>0</v>
      </c>
      <c r="X126" s="3"/>
      <c r="Y126" s="3">
        <v>0</v>
      </c>
      <c r="Z126" s="3"/>
      <c r="AA126" s="3">
        <v>0</v>
      </c>
      <c r="AB126" s="3"/>
      <c r="AC126" s="3" t="s">
        <v>307</v>
      </c>
      <c r="AE126" s="13" t="s">
        <v>200</v>
      </c>
      <c r="AF126" s="3"/>
      <c r="AG126" s="3">
        <v>0</v>
      </c>
      <c r="AH126" s="3"/>
      <c r="AI126" s="3">
        <v>0</v>
      </c>
      <c r="AJ126" s="3"/>
      <c r="AK126" s="3"/>
      <c r="AL126" s="3"/>
      <c r="AM126" s="3">
        <v>0</v>
      </c>
      <c r="AN126" s="3"/>
      <c r="AO126" s="3">
        <v>0</v>
      </c>
      <c r="AP126" s="3"/>
      <c r="AQ126" s="3">
        <v>0</v>
      </c>
      <c r="AR126" s="3"/>
      <c r="AS126" s="3">
        <v>0</v>
      </c>
      <c r="AT126" s="3"/>
      <c r="AU126" s="3">
        <v>0</v>
      </c>
      <c r="AV126" s="3"/>
      <c r="AW126" s="3">
        <v>0</v>
      </c>
      <c r="AX126" s="3"/>
      <c r="AY126" s="3">
        <v>0</v>
      </c>
      <c r="AZ126" s="3"/>
      <c r="BA126" s="3"/>
      <c r="BB126" s="3"/>
      <c r="BC126" s="14">
        <f t="shared" si="4"/>
        <v>0</v>
      </c>
      <c r="BD126" s="3" t="s">
        <v>307</v>
      </c>
      <c r="BF126" s="13" t="s">
        <v>200</v>
      </c>
      <c r="BG126" s="3"/>
      <c r="BH126" s="3">
        <v>0</v>
      </c>
      <c r="BI126" s="3"/>
      <c r="BJ126" s="3"/>
      <c r="BK126" s="3"/>
      <c r="BL126" s="3"/>
      <c r="BM126" s="3"/>
      <c r="BN126" s="3">
        <v>0</v>
      </c>
      <c r="BO126" s="3"/>
      <c r="BP126" s="14">
        <f t="shared" si="10"/>
        <v>0</v>
      </c>
      <c r="BQ126" s="3"/>
      <c r="BR126" s="14">
        <f>GovRev!AT126-BP126</f>
        <v>0</v>
      </c>
      <c r="BS126" s="3"/>
      <c r="BT126" s="3"/>
      <c r="BU126" s="3"/>
      <c r="BV126" s="3"/>
      <c r="BW126" s="3"/>
      <c r="BX126" s="14">
        <f t="shared" si="7"/>
        <v>0</v>
      </c>
      <c r="BY126" s="14"/>
      <c r="BZ126" s="14">
        <f>-BX126+GovBS!AC126</f>
        <v>0</v>
      </c>
    </row>
    <row r="127" spans="1:78" s="13" customFormat="1" hidden="1">
      <c r="A127" s="3" t="s">
        <v>341</v>
      </c>
      <c r="C127" s="13" t="s">
        <v>203</v>
      </c>
      <c r="E127" s="3">
        <v>0</v>
      </c>
      <c r="F127" s="3"/>
      <c r="G127" s="3">
        <v>0</v>
      </c>
      <c r="H127" s="3"/>
      <c r="I127" s="3">
        <v>0</v>
      </c>
      <c r="J127" s="3"/>
      <c r="K127" s="3">
        <v>0</v>
      </c>
      <c r="L127" s="3"/>
      <c r="M127" s="3">
        <v>0</v>
      </c>
      <c r="N127" s="3"/>
      <c r="O127" s="3">
        <v>0</v>
      </c>
      <c r="P127" s="3"/>
      <c r="Q127" s="3">
        <v>0</v>
      </c>
      <c r="R127" s="3"/>
      <c r="S127" s="3">
        <v>0</v>
      </c>
      <c r="T127" s="3"/>
      <c r="U127" s="3">
        <v>0</v>
      </c>
      <c r="V127" s="3"/>
      <c r="W127" s="3">
        <v>0</v>
      </c>
      <c r="X127" s="3"/>
      <c r="Y127" s="3">
        <v>0</v>
      </c>
      <c r="Z127" s="3"/>
      <c r="AA127" s="3">
        <v>0</v>
      </c>
      <c r="AB127" s="3"/>
      <c r="AC127" s="3" t="s">
        <v>341</v>
      </c>
      <c r="AE127" s="13" t="s">
        <v>203</v>
      </c>
      <c r="AF127" s="3"/>
      <c r="AG127" s="3">
        <v>0</v>
      </c>
      <c r="AH127" s="3"/>
      <c r="AI127" s="3">
        <v>0</v>
      </c>
      <c r="AJ127" s="3"/>
      <c r="AK127" s="3"/>
      <c r="AL127" s="3"/>
      <c r="AM127" s="3">
        <v>0</v>
      </c>
      <c r="AN127" s="3"/>
      <c r="AO127" s="3">
        <v>0</v>
      </c>
      <c r="AP127" s="3"/>
      <c r="AQ127" s="3">
        <v>0</v>
      </c>
      <c r="AR127" s="3"/>
      <c r="AS127" s="3">
        <v>0</v>
      </c>
      <c r="AT127" s="3"/>
      <c r="AU127" s="3">
        <v>0</v>
      </c>
      <c r="AV127" s="3"/>
      <c r="AW127" s="3">
        <v>0</v>
      </c>
      <c r="AX127" s="3"/>
      <c r="AY127" s="3">
        <v>0</v>
      </c>
      <c r="AZ127" s="3"/>
      <c r="BA127" s="3"/>
      <c r="BB127" s="3"/>
      <c r="BC127" s="14">
        <f t="shared" si="4"/>
        <v>0</v>
      </c>
      <c r="BD127" s="3" t="s">
        <v>341</v>
      </c>
      <c r="BF127" s="13" t="s">
        <v>203</v>
      </c>
      <c r="BG127" s="3"/>
      <c r="BH127" s="3">
        <v>0</v>
      </c>
      <c r="BI127" s="3"/>
      <c r="BJ127" s="3"/>
      <c r="BK127" s="3"/>
      <c r="BL127" s="3"/>
      <c r="BM127" s="3"/>
      <c r="BN127" s="3">
        <v>0</v>
      </c>
      <c r="BO127" s="3"/>
      <c r="BP127" s="14">
        <f t="shared" si="10"/>
        <v>0</v>
      </c>
      <c r="BQ127" s="3"/>
      <c r="BR127" s="14">
        <f>GovRev!AT127-BP127</f>
        <v>0</v>
      </c>
      <c r="BS127" s="3"/>
      <c r="BT127" s="3"/>
      <c r="BU127" s="3"/>
      <c r="BV127" s="3"/>
      <c r="BW127" s="3"/>
      <c r="BX127" s="14">
        <f t="shared" si="7"/>
        <v>0</v>
      </c>
      <c r="BY127" s="3"/>
      <c r="BZ127" s="14">
        <f>-BX127+GovBS!AC127</f>
        <v>0</v>
      </c>
    </row>
    <row r="128" spans="1:78" s="13" customFormat="1" hidden="1">
      <c r="A128" s="3" t="s">
        <v>308</v>
      </c>
      <c r="C128" s="13" t="s">
        <v>204</v>
      </c>
      <c r="E128" s="3">
        <v>0</v>
      </c>
      <c r="F128" s="3"/>
      <c r="G128" s="3">
        <v>0</v>
      </c>
      <c r="H128" s="3"/>
      <c r="I128" s="3">
        <v>0</v>
      </c>
      <c r="J128" s="3"/>
      <c r="K128" s="3">
        <v>0</v>
      </c>
      <c r="L128" s="3"/>
      <c r="M128" s="3">
        <v>0</v>
      </c>
      <c r="N128" s="3"/>
      <c r="O128" s="3">
        <v>0</v>
      </c>
      <c r="P128" s="3"/>
      <c r="Q128" s="3">
        <v>0</v>
      </c>
      <c r="R128" s="3"/>
      <c r="S128" s="3">
        <v>0</v>
      </c>
      <c r="T128" s="3"/>
      <c r="U128" s="3">
        <v>0</v>
      </c>
      <c r="V128" s="3"/>
      <c r="W128" s="3">
        <v>0</v>
      </c>
      <c r="X128" s="3"/>
      <c r="Y128" s="3">
        <v>0</v>
      </c>
      <c r="Z128" s="3"/>
      <c r="AA128" s="3">
        <v>0</v>
      </c>
      <c r="AC128" s="3" t="s">
        <v>308</v>
      </c>
      <c r="AE128" s="13" t="s">
        <v>204</v>
      </c>
      <c r="AG128" s="3">
        <v>0</v>
      </c>
      <c r="AH128" s="3"/>
      <c r="AI128" s="3">
        <v>0</v>
      </c>
      <c r="AJ128" s="3"/>
      <c r="AK128" s="3"/>
      <c r="AL128" s="3"/>
      <c r="AM128" s="3">
        <v>0</v>
      </c>
      <c r="AN128" s="3"/>
      <c r="AO128" s="3">
        <v>0</v>
      </c>
      <c r="AP128" s="3"/>
      <c r="AQ128" s="3">
        <v>0</v>
      </c>
      <c r="AR128" s="3"/>
      <c r="AS128" s="3">
        <v>0</v>
      </c>
      <c r="AT128" s="3"/>
      <c r="AU128" s="3">
        <v>0</v>
      </c>
      <c r="AV128" s="3"/>
      <c r="AW128" s="3">
        <v>0</v>
      </c>
      <c r="AX128" s="3"/>
      <c r="AY128" s="3">
        <v>0</v>
      </c>
      <c r="AZ128" s="3"/>
      <c r="BA128" s="3"/>
      <c r="BB128" s="3"/>
      <c r="BC128" s="14">
        <f t="shared" si="4"/>
        <v>0</v>
      </c>
      <c r="BD128" s="3" t="s">
        <v>308</v>
      </c>
      <c r="BF128" s="13" t="s">
        <v>204</v>
      </c>
      <c r="BH128" s="3">
        <v>0</v>
      </c>
      <c r="BI128" s="3"/>
      <c r="BJ128" s="3"/>
      <c r="BK128" s="3"/>
      <c r="BL128" s="3"/>
      <c r="BM128" s="3"/>
      <c r="BN128" s="3">
        <v>0</v>
      </c>
      <c r="BO128" s="3"/>
      <c r="BP128" s="14">
        <f t="shared" si="10"/>
        <v>0</v>
      </c>
      <c r="BQ128" s="3"/>
      <c r="BR128" s="14">
        <f>GovRev!AT128-BP128</f>
        <v>0</v>
      </c>
      <c r="BS128" s="3"/>
      <c r="BT128" s="3"/>
      <c r="BU128" s="3"/>
      <c r="BV128" s="3"/>
      <c r="BW128" s="3"/>
      <c r="BX128" s="14">
        <f t="shared" si="7"/>
        <v>0</v>
      </c>
      <c r="BY128" s="14"/>
      <c r="BZ128" s="14">
        <f>-BX128+GovBS!AC128</f>
        <v>0</v>
      </c>
    </row>
    <row r="129" spans="1:78" s="13" customFormat="1">
      <c r="A129" s="3" t="s">
        <v>201</v>
      </c>
      <c r="C129" s="13" t="s">
        <v>261</v>
      </c>
      <c r="E129" s="3">
        <v>147828</v>
      </c>
      <c r="F129" s="3"/>
      <c r="G129" s="3">
        <v>1309668</v>
      </c>
      <c r="H129" s="3"/>
      <c r="I129" s="3">
        <v>0</v>
      </c>
      <c r="J129" s="3"/>
      <c r="K129" s="3">
        <v>0</v>
      </c>
      <c r="L129" s="3"/>
      <c r="M129" s="3">
        <v>0</v>
      </c>
      <c r="N129" s="3"/>
      <c r="O129" s="3">
        <v>968779</v>
      </c>
      <c r="P129" s="3"/>
      <c r="Q129" s="3">
        <v>1045562</v>
      </c>
      <c r="R129" s="3"/>
      <c r="S129" s="3">
        <v>52778</v>
      </c>
      <c r="T129" s="3"/>
      <c r="U129" s="3">
        <v>395896</v>
      </c>
      <c r="V129" s="3"/>
      <c r="W129" s="3">
        <v>108418</v>
      </c>
      <c r="X129" s="3"/>
      <c r="Y129" s="3">
        <v>0</v>
      </c>
      <c r="Z129" s="3"/>
      <c r="AA129" s="3">
        <v>18447</v>
      </c>
      <c r="AB129" s="3"/>
      <c r="AC129" s="3" t="s">
        <v>201</v>
      </c>
      <c r="AE129" s="13" t="s">
        <v>261</v>
      </c>
      <c r="AF129" s="3"/>
      <c r="AG129" s="3">
        <v>0</v>
      </c>
      <c r="AH129" s="3"/>
      <c r="AI129" s="3">
        <v>35156</v>
      </c>
      <c r="AJ129" s="3"/>
      <c r="AK129" s="3"/>
      <c r="AL129" s="3"/>
      <c r="AM129" s="3">
        <v>0</v>
      </c>
      <c r="AN129" s="3"/>
      <c r="AO129" s="3">
        <v>0</v>
      </c>
      <c r="AP129" s="3"/>
      <c r="AQ129" s="3">
        <v>0</v>
      </c>
      <c r="AR129" s="3"/>
      <c r="AS129" s="3">
        <v>0</v>
      </c>
      <c r="AT129" s="3"/>
      <c r="AU129" s="3">
        <v>420525</v>
      </c>
      <c r="AV129" s="3"/>
      <c r="AW129" s="3">
        <v>0</v>
      </c>
      <c r="AX129" s="3"/>
      <c r="AY129" s="3">
        <v>0</v>
      </c>
      <c r="AZ129" s="3"/>
      <c r="BA129" s="3">
        <v>0</v>
      </c>
      <c r="BB129" s="3"/>
      <c r="BC129" s="14">
        <f>SUM(E129:BA129)</f>
        <v>4503057</v>
      </c>
      <c r="BD129" s="3" t="s">
        <v>201</v>
      </c>
      <c r="BF129" s="13" t="s">
        <v>261</v>
      </c>
      <c r="BG129" s="3"/>
      <c r="BH129" s="3">
        <v>0</v>
      </c>
      <c r="BI129" s="3"/>
      <c r="BJ129" s="3">
        <v>0</v>
      </c>
      <c r="BK129" s="3"/>
      <c r="BL129" s="3">
        <v>0</v>
      </c>
      <c r="BM129" s="3"/>
      <c r="BN129" s="3">
        <v>0</v>
      </c>
      <c r="BO129" s="3"/>
      <c r="BP129" s="14">
        <f>+BC129+BH129+BJ129+BN129+BL129</f>
        <v>4503057</v>
      </c>
      <c r="BQ129" s="3"/>
      <c r="BR129" s="14">
        <f>GovRev!AT129-BP129</f>
        <v>115328</v>
      </c>
      <c r="BS129" s="3"/>
      <c r="BT129" s="3">
        <v>275013</v>
      </c>
      <c r="BU129" s="3"/>
      <c r="BV129" s="3">
        <v>0</v>
      </c>
      <c r="BW129" s="3"/>
      <c r="BX129" s="14">
        <f t="shared" si="7"/>
        <v>390341</v>
      </c>
      <c r="BY129" s="14"/>
      <c r="BZ129" s="14">
        <f>-BX129+GovBS!AC129</f>
        <v>0</v>
      </c>
    </row>
    <row r="130" spans="1:78" s="13" customFormat="1">
      <c r="A130" s="3" t="s">
        <v>340</v>
      </c>
      <c r="C130" s="13" t="s">
        <v>206</v>
      </c>
      <c r="E130" s="3">
        <v>1557540</v>
      </c>
      <c r="F130" s="3"/>
      <c r="G130" s="3">
        <v>4515958</v>
      </c>
      <c r="H130" s="3"/>
      <c r="I130" s="3">
        <v>0</v>
      </c>
      <c r="J130" s="3"/>
      <c r="K130" s="3">
        <v>8337</v>
      </c>
      <c r="L130" s="3"/>
      <c r="M130" s="3">
        <v>0</v>
      </c>
      <c r="N130" s="3"/>
      <c r="O130" s="3">
        <v>3138067</v>
      </c>
      <c r="P130" s="3"/>
      <c r="Q130" s="3">
        <v>3169547</v>
      </c>
      <c r="R130" s="3"/>
      <c r="S130" s="3">
        <v>41696</v>
      </c>
      <c r="T130" s="3"/>
      <c r="U130" s="3">
        <v>1112818</v>
      </c>
      <c r="V130" s="3"/>
      <c r="W130" s="3">
        <v>724004</v>
      </c>
      <c r="X130" s="3"/>
      <c r="Y130" s="3">
        <v>0</v>
      </c>
      <c r="Z130" s="3"/>
      <c r="AA130" s="3">
        <v>287746</v>
      </c>
      <c r="AB130" s="3"/>
      <c r="AC130" s="3" t="s">
        <v>340</v>
      </c>
      <c r="AE130" s="13" t="s">
        <v>206</v>
      </c>
      <c r="AF130" s="3"/>
      <c r="AG130" s="3">
        <v>64741</v>
      </c>
      <c r="AH130" s="3"/>
      <c r="AI130" s="3">
        <v>533132</v>
      </c>
      <c r="AJ130" s="3"/>
      <c r="AK130" s="3"/>
      <c r="AL130" s="3"/>
      <c r="AM130" s="3">
        <v>0</v>
      </c>
      <c r="AN130" s="3"/>
      <c r="AO130" s="3">
        <v>27158</v>
      </c>
      <c r="AP130" s="3"/>
      <c r="AQ130" s="3">
        <v>0</v>
      </c>
      <c r="AR130" s="3"/>
      <c r="AS130" s="3">
        <v>0</v>
      </c>
      <c r="AT130" s="3"/>
      <c r="AU130" s="3">
        <v>95562</v>
      </c>
      <c r="AV130" s="3"/>
      <c r="AW130" s="3">
        <v>0</v>
      </c>
      <c r="AX130" s="3"/>
      <c r="AY130" s="3">
        <v>0</v>
      </c>
      <c r="AZ130" s="3"/>
      <c r="BA130" s="3">
        <v>0</v>
      </c>
      <c r="BB130" s="3"/>
      <c r="BC130" s="14">
        <f t="shared" si="4"/>
        <v>15276306</v>
      </c>
      <c r="BD130" s="3" t="s">
        <v>340</v>
      </c>
      <c r="BF130" s="13" t="s">
        <v>206</v>
      </c>
      <c r="BG130" s="3"/>
      <c r="BH130" s="3">
        <v>0</v>
      </c>
      <c r="BI130" s="3"/>
      <c r="BJ130" s="3">
        <v>0</v>
      </c>
      <c r="BK130" s="3"/>
      <c r="BL130" s="3">
        <v>0</v>
      </c>
      <c r="BM130" s="3"/>
      <c r="BN130" s="3">
        <v>0</v>
      </c>
      <c r="BO130" s="3"/>
      <c r="BP130" s="14">
        <f t="shared" si="10"/>
        <v>15276306</v>
      </c>
      <c r="BQ130" s="3"/>
      <c r="BR130" s="14">
        <f>GovRev!AT130-BP130</f>
        <v>-648663</v>
      </c>
      <c r="BS130" s="3"/>
      <c r="BT130" s="3">
        <v>4740851</v>
      </c>
      <c r="BU130" s="3"/>
      <c r="BV130" s="3">
        <v>0</v>
      </c>
      <c r="BW130" s="3"/>
      <c r="BX130" s="14">
        <f t="shared" si="7"/>
        <v>4092188</v>
      </c>
      <c r="BY130" s="14"/>
      <c r="BZ130" s="14">
        <f>-BX130+GovBS!AC130</f>
        <v>0</v>
      </c>
    </row>
    <row r="131" spans="1:78" s="13" customFormat="1">
      <c r="K131" s="23"/>
    </row>
    <row r="132" spans="1:78" s="13" customFormat="1">
      <c r="A132" s="72"/>
      <c r="B132" s="72"/>
      <c r="C132" s="72"/>
      <c r="D132" s="72"/>
      <c r="E132" s="72"/>
      <c r="F132" s="72"/>
      <c r="G132" s="72"/>
      <c r="H132" s="72"/>
      <c r="I132" s="72"/>
      <c r="J132" s="59"/>
      <c r="K132" s="23"/>
      <c r="AA132" s="30" t="s">
        <v>257</v>
      </c>
      <c r="AI132" s="30"/>
      <c r="AO132" s="30"/>
      <c r="BC132" s="30" t="s">
        <v>257</v>
      </c>
    </row>
    <row r="133" spans="1:78" s="13" customFormat="1">
      <c r="K133" s="23"/>
    </row>
    <row r="139" spans="1:78">
      <c r="E139" s="3"/>
      <c r="F139" s="3"/>
      <c r="G139" s="3"/>
      <c r="H139" s="3"/>
      <c r="I139" s="3"/>
      <c r="J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13"/>
      <c r="AD139" s="13"/>
      <c r="AE139" s="1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14"/>
      <c r="BD139" s="13"/>
      <c r="BE139" s="13"/>
      <c r="BF139" s="13"/>
      <c r="BG139" s="3"/>
      <c r="BH139" s="3"/>
      <c r="BI139" s="3"/>
      <c r="BJ139" s="3">
        <v>0</v>
      </c>
      <c r="BK139" s="3"/>
      <c r="BL139" s="3">
        <v>0</v>
      </c>
      <c r="BM139" s="3"/>
      <c r="BN139" s="3"/>
      <c r="BO139" s="3"/>
      <c r="BP139" s="14"/>
      <c r="BQ139" s="3"/>
      <c r="BR139" s="14"/>
      <c r="BS139" s="3"/>
      <c r="BT139" s="3"/>
      <c r="BU139" s="3"/>
      <c r="BV139" s="3"/>
      <c r="BW139" s="3"/>
      <c r="BX139" s="14"/>
    </row>
    <row r="146" spans="11:11">
      <c r="K146" s="23">
        <v>18154</v>
      </c>
    </row>
    <row r="178" spans="11:11">
      <c r="K178" s="50"/>
    </row>
    <row r="261" spans="11:11">
      <c r="K261" s="50"/>
    </row>
    <row r="343" spans="11:11">
      <c r="K343" s="50"/>
    </row>
    <row r="433" spans="11:11">
      <c r="K433" s="50"/>
    </row>
    <row r="514" spans="11:11">
      <c r="K514" s="50"/>
    </row>
    <row r="595" spans="11:11">
      <c r="K595" s="50"/>
    </row>
  </sheetData>
  <mergeCells count="6">
    <mergeCell ref="AM7:AO7"/>
    <mergeCell ref="O7:AB7"/>
    <mergeCell ref="A132:I132"/>
    <mergeCell ref="A66:I66"/>
    <mergeCell ref="E7:K7"/>
    <mergeCell ref="AG7:AI7"/>
  </mergeCells>
  <phoneticPr fontId="3" type="noConversion"/>
  <pageMargins left="0.9" right="0.75" top="0.5" bottom="0.5" header="0.25" footer="0.25"/>
  <pageSetup scale="80" firstPageNumber="62" pageOrder="overThenDown" orientation="portrait" useFirstPageNumber="1" r:id="rId1"/>
  <headerFooter scaleWithDoc="0" alignWithMargins="0"/>
  <rowBreaks count="1" manualBreakCount="1">
    <brk id="66" max="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St of Net Assets</vt:lpstr>
      <vt:lpstr>St of Act-Rev</vt:lpstr>
      <vt:lpstr>St of Act-Exp</vt:lpstr>
      <vt:lpstr>GenBS</vt:lpstr>
      <vt:lpstr>GenRev</vt:lpstr>
      <vt:lpstr>GenExp</vt:lpstr>
      <vt:lpstr>GovBS</vt:lpstr>
      <vt:lpstr>GovRev</vt:lpstr>
      <vt:lpstr>GovExp</vt:lpstr>
      <vt:lpstr>LT_Ob</vt:lpstr>
      <vt:lpstr>GenBS!Print_Area</vt:lpstr>
      <vt:lpstr>GenExp!Print_Area</vt:lpstr>
      <vt:lpstr>GenRev!Print_Area</vt:lpstr>
      <vt:lpstr>GovBS!Print_Area</vt:lpstr>
      <vt:lpstr>GovExp!Print_Area</vt:lpstr>
      <vt:lpstr>GovRev!Print_Area</vt:lpstr>
      <vt:lpstr>LT_Ob!Print_Area</vt:lpstr>
      <vt:lpstr>'St of Act-Exp'!Print_Area</vt:lpstr>
      <vt:lpstr>'St of Act-Rev'!Print_Area</vt:lpstr>
      <vt:lpstr>'St of Net Assets'!Print_Area</vt:lpstr>
      <vt:lpstr>GenBS!Print_Titles</vt:lpstr>
      <vt:lpstr>GenExp!Print_Titles</vt:lpstr>
      <vt:lpstr>GenRev!Print_Titles</vt:lpstr>
      <vt:lpstr>GovBS!Print_Titles</vt:lpstr>
      <vt:lpstr>GovExp!Print_Titles</vt:lpstr>
      <vt:lpstr>GovRev!Print_Titles</vt:lpstr>
      <vt:lpstr>LT_Ob!Print_Titles</vt:lpstr>
      <vt:lpstr>'St of Act-Exp'!Print_Titles</vt:lpstr>
      <vt:lpstr>'St of Act-Rev'!Print_Titles</vt:lpstr>
      <vt:lpstr>'St of Net Assets'!Print_Titles</vt:lpstr>
    </vt:vector>
  </TitlesOfParts>
  <Company>Auditor of State of Ohio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A. Bizic</dc:creator>
  <cp:lastModifiedBy>Sarah E. Ramsey McKee</cp:lastModifiedBy>
  <cp:lastPrinted>2014-05-14T12:07:37Z</cp:lastPrinted>
  <dcterms:created xsi:type="dcterms:W3CDTF">2004-12-29T15:55:54Z</dcterms:created>
  <dcterms:modified xsi:type="dcterms:W3CDTF">2014-05-14T19:45:23Z</dcterms:modified>
</cp:coreProperties>
</file>